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-srv-choshi\1402_保険年金室\国保料班\"/>
    </mc:Choice>
  </mc:AlternateContent>
  <xr:revisionPtr revIDLastSave="0" documentId="13_ncr:1_{D326A589-95EF-41EA-A615-65AD6BE243DD}" xr6:coauthVersionLast="47" xr6:coauthVersionMax="47" xr10:uidLastSave="{00000000-0000-0000-0000-000000000000}"/>
  <workbookProtection workbookAlgorithmName="SHA-512" workbookHashValue="jKRtd4IAUlfELdWALUeLbdA3V41bxOI6YnM4xkMtpOrScpaPsKzw1C1j+JnvFx38znlYeaVblAKcbg+//Ibdew==" workbookSaltValue="XkX6qOV8rcAWJ0CChGv1/A==" workbookSpinCount="100000" lockStructure="1"/>
  <bookViews>
    <workbookView xWindow="-120" yWindow="-120" windowWidth="20730" windowHeight="11040" tabRatio="836" xr2:uid="{759AB879-171B-4A12-B528-98152B946A0B}"/>
  </bookViews>
  <sheets>
    <sheet name="試算" sheetId="9" r:id="rId1"/>
    <sheet name="所得計算" sheetId="14" state="hidden" r:id="rId2"/>
    <sheet name="計算" sheetId="8" state="hidden" r:id="rId3"/>
    <sheet name="ドロップダウンリスト" sheetId="7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4" l="1"/>
  <c r="K10" i="14"/>
  <c r="C10" i="14"/>
  <c r="G10" i="14" s="1"/>
  <c r="B10" i="14"/>
  <c r="L10" i="14" s="1"/>
  <c r="K9" i="14"/>
  <c r="C9" i="14"/>
  <c r="B9" i="14"/>
  <c r="L9" i="14" s="1"/>
  <c r="K8" i="14"/>
  <c r="C8" i="14"/>
  <c r="E8" i="14" s="1"/>
  <c r="B8" i="14"/>
  <c r="M8" i="14" s="1"/>
  <c r="K7" i="14"/>
  <c r="C7" i="14"/>
  <c r="B7" i="14"/>
  <c r="M7" i="14" s="1"/>
  <c r="K6" i="14"/>
  <c r="C6" i="14"/>
  <c r="F6" i="14" s="1"/>
  <c r="B6" i="14"/>
  <c r="M6" i="14" s="1"/>
  <c r="K5" i="14"/>
  <c r="C5" i="14"/>
  <c r="I5" i="14" s="1"/>
  <c r="B5" i="14"/>
  <c r="M5" i="14" s="1"/>
  <c r="K4" i="14"/>
  <c r="C4" i="14"/>
  <c r="I4" i="14" s="1"/>
  <c r="B4" i="14"/>
  <c r="M4" i="14" s="1"/>
  <c r="K3" i="14"/>
  <c r="B3" i="14"/>
  <c r="L3" i="14" s="1"/>
  <c r="S8" i="14" l="1"/>
  <c r="L5" i="14"/>
  <c r="O5" i="14" s="1"/>
  <c r="M3" i="14"/>
  <c r="S3" i="14" s="1"/>
  <c r="L7" i="14"/>
  <c r="N7" i="14" s="1"/>
  <c r="M10" i="14"/>
  <c r="R10" i="14" s="1"/>
  <c r="L8" i="14"/>
  <c r="P8" i="14" s="1"/>
  <c r="L6" i="14"/>
  <c r="P6" i="14" s="1"/>
  <c r="N9" i="14"/>
  <c r="S4" i="14"/>
  <c r="O10" i="14"/>
  <c r="P10" i="14"/>
  <c r="N10" i="14"/>
  <c r="P3" i="14"/>
  <c r="O3" i="14"/>
  <c r="Q8" i="14"/>
  <c r="L4" i="14"/>
  <c r="O4" i="14" s="1"/>
  <c r="O9" i="14"/>
  <c r="Q6" i="14"/>
  <c r="R6" i="14"/>
  <c r="S6" i="14"/>
  <c r="M9" i="14"/>
  <c r="Q9" i="14" s="1"/>
  <c r="P9" i="14"/>
  <c r="R8" i="14"/>
  <c r="Q7" i="14"/>
  <c r="S7" i="14"/>
  <c r="Q5" i="14"/>
  <c r="R5" i="14"/>
  <c r="S5" i="14"/>
  <c r="R7" i="14"/>
  <c r="Q4" i="14"/>
  <c r="R4" i="14"/>
  <c r="N3" i="14"/>
  <c r="H6" i="14"/>
  <c r="I8" i="14"/>
  <c r="I6" i="14"/>
  <c r="F8" i="14"/>
  <c r="G8" i="14"/>
  <c r="G6" i="14"/>
  <c r="H8" i="14"/>
  <c r="H10" i="14"/>
  <c r="E7" i="14"/>
  <c r="I10" i="14"/>
  <c r="F7" i="14"/>
  <c r="I9" i="14"/>
  <c r="D6" i="14"/>
  <c r="G7" i="14"/>
  <c r="E6" i="14"/>
  <c r="H7" i="14"/>
  <c r="G9" i="14"/>
  <c r="H9" i="14"/>
  <c r="I7" i="14"/>
  <c r="D5" i="14"/>
  <c r="F3" i="14"/>
  <c r="F4" i="14"/>
  <c r="G5" i="14"/>
  <c r="D10" i="14"/>
  <c r="H3" i="14"/>
  <c r="G4" i="14"/>
  <c r="H5" i="14"/>
  <c r="D9" i="14"/>
  <c r="E10" i="14"/>
  <c r="E3" i="14"/>
  <c r="E5" i="14"/>
  <c r="E4" i="14"/>
  <c r="F5" i="14"/>
  <c r="G3" i="14"/>
  <c r="I3" i="14"/>
  <c r="H4" i="14"/>
  <c r="D8" i="14"/>
  <c r="E9" i="14"/>
  <c r="F10" i="14"/>
  <c r="D3" i="14"/>
  <c r="D4" i="14"/>
  <c r="D7" i="14"/>
  <c r="F9" i="14"/>
  <c r="P5" i="14" l="1"/>
  <c r="N5" i="14"/>
  <c r="T5" i="14" s="1"/>
  <c r="H5" i="8" s="1"/>
  <c r="O7" i="14"/>
  <c r="P7" i="14"/>
  <c r="Q3" i="14"/>
  <c r="O6" i="14"/>
  <c r="N6" i="14"/>
  <c r="T6" i="14" s="1"/>
  <c r="H6" i="8" s="1"/>
  <c r="R3" i="14"/>
  <c r="T3" i="14" s="1"/>
  <c r="H3" i="8" s="1"/>
  <c r="N4" i="14"/>
  <c r="P4" i="14"/>
  <c r="O8" i="14"/>
  <c r="S10" i="14"/>
  <c r="Q10" i="14"/>
  <c r="N8" i="14"/>
  <c r="R9" i="14"/>
  <c r="S9" i="14"/>
  <c r="J8" i="14"/>
  <c r="G8" i="8" s="1"/>
  <c r="J10" i="14"/>
  <c r="G10" i="8" s="1"/>
  <c r="J7" i="14"/>
  <c r="G7" i="8" s="1"/>
  <c r="J4" i="14"/>
  <c r="G4" i="8" s="1"/>
  <c r="J6" i="14"/>
  <c r="G6" i="8" s="1"/>
  <c r="J9" i="14"/>
  <c r="G9" i="8" s="1"/>
  <c r="J3" i="14"/>
  <c r="G3" i="8" s="1"/>
  <c r="J5" i="14"/>
  <c r="G5" i="8" s="1"/>
  <c r="T10" i="14" l="1"/>
  <c r="H10" i="8" s="1"/>
  <c r="F10" i="8" s="1"/>
  <c r="T7" i="14"/>
  <c r="H7" i="8" s="1"/>
  <c r="F7" i="8" s="1"/>
  <c r="T9" i="14"/>
  <c r="H9" i="8" s="1"/>
  <c r="F6" i="8"/>
  <c r="F5" i="8"/>
  <c r="F3" i="8"/>
  <c r="T4" i="14"/>
  <c r="H4" i="8" s="1"/>
  <c r="T8" i="14"/>
  <c r="H8" i="8" s="1"/>
  <c r="F8" i="8" s="1"/>
  <c r="F9" i="8" l="1"/>
  <c r="F4" i="8"/>
  <c r="N3" i="8" l="1"/>
  <c r="E3" i="8"/>
  <c r="I4" i="8" l="1"/>
  <c r="J4" i="8" s="1"/>
  <c r="I5" i="8"/>
  <c r="J5" i="8" s="1"/>
  <c r="I6" i="8"/>
  <c r="J6" i="8" s="1"/>
  <c r="I7" i="8"/>
  <c r="J7" i="8" s="1"/>
  <c r="I8" i="8"/>
  <c r="J8" i="8" s="1"/>
  <c r="I9" i="8"/>
  <c r="J9" i="8" s="1"/>
  <c r="I10" i="8"/>
  <c r="J10" i="8" s="1"/>
  <c r="I3" i="8"/>
  <c r="J3" i="8" s="1"/>
  <c r="E4" i="8"/>
  <c r="E5" i="8"/>
  <c r="E6" i="8"/>
  <c r="E7" i="8"/>
  <c r="E8" i="8"/>
  <c r="E9" i="8"/>
  <c r="E10" i="8"/>
  <c r="D4" i="8"/>
  <c r="D5" i="8"/>
  <c r="D6" i="8"/>
  <c r="D7" i="8"/>
  <c r="D8" i="8"/>
  <c r="D9" i="8"/>
  <c r="D10" i="8"/>
  <c r="D3" i="8"/>
  <c r="C4" i="8"/>
  <c r="C5" i="8"/>
  <c r="C6" i="8"/>
  <c r="C7" i="8"/>
  <c r="C8" i="8"/>
  <c r="C9" i="8"/>
  <c r="C10" i="8"/>
  <c r="C3" i="8"/>
  <c r="B7" i="8" l="1"/>
  <c r="B4" i="8"/>
  <c r="B5" i="8"/>
  <c r="B6" i="8"/>
  <c r="B8" i="8"/>
  <c r="B9" i="8"/>
  <c r="B10" i="8"/>
  <c r="B3" i="8"/>
  <c r="L3" i="8" a="1"/>
  <c r="L3" i="8" s="1"/>
  <c r="Z10" i="8" l="1" a="1"/>
  <c r="Z10" i="8" s="1"/>
  <c r="Z7" i="8" a="1"/>
  <c r="Z7" i="8" s="1"/>
  <c r="Z9" i="8" a="1"/>
  <c r="Z9" i="8" s="1"/>
  <c r="AD3" i="8" a="1"/>
  <c r="AD3" i="8" s="1"/>
  <c r="M3" i="8"/>
  <c r="O3" i="8" s="1"/>
  <c r="AD10" i="8" a="1"/>
  <c r="AD10" i="8" s="1"/>
  <c r="AD7" i="8" a="1"/>
  <c r="AD7" i="8" s="1"/>
  <c r="Z3" i="8" a="1"/>
  <c r="Z3" i="8" s="1"/>
  <c r="L10" i="8" l="1" a="1"/>
  <c r="L10" i="8" s="1"/>
  <c r="L9" i="8" a="1"/>
  <c r="L9" i="8" s="1"/>
  <c r="AD9" i="8" s="1" a="1"/>
  <c r="AD9" i="8" s="1"/>
  <c r="L8" i="8" a="1"/>
  <c r="L8" i="8" s="1"/>
  <c r="L7" i="8" a="1"/>
  <c r="L7" i="8" s="1"/>
  <c r="L6" i="8" a="1"/>
  <c r="L6" i="8" s="1"/>
  <c r="L5" i="8" a="1"/>
  <c r="L5" i="8" s="1"/>
  <c r="L4" i="8" a="1"/>
  <c r="L4" i="8" s="1"/>
  <c r="Z4" i="8" s="1" a="1"/>
  <c r="Z4" i="8" s="1"/>
  <c r="K4" i="8"/>
  <c r="K5" i="8"/>
  <c r="K6" i="8"/>
  <c r="K7" i="8"/>
  <c r="K8" i="8"/>
  <c r="K9" i="8"/>
  <c r="K10" i="8"/>
  <c r="AD5" i="8" l="1" a="1"/>
  <c r="AD5" i="8" s="1"/>
  <c r="AE5" i="8" s="1"/>
  <c r="Z5" i="8" a="1"/>
  <c r="Z5" i="8" s="1"/>
  <c r="AA5" i="8" s="1"/>
  <c r="Z8" i="8" a="1"/>
  <c r="Z8" i="8" s="1"/>
  <c r="AD8" i="8" a="1"/>
  <c r="AD8" i="8" s="1"/>
  <c r="AE8" i="8" s="1"/>
  <c r="Z6" i="8" a="1"/>
  <c r="Z6" i="8" s="1"/>
  <c r="AA6" i="8" s="1"/>
  <c r="AD6" i="8" a="1"/>
  <c r="AD6" i="8" s="1"/>
  <c r="AE6" i="8" s="1"/>
  <c r="P3" i="8"/>
  <c r="AE10" i="8"/>
  <c r="AA10" i="8"/>
  <c r="W10" i="8"/>
  <c r="S10" i="8"/>
  <c r="AE9" i="8"/>
  <c r="AA9" i="8"/>
  <c r="W9" i="8"/>
  <c r="S9" i="8"/>
  <c r="AA8" i="8"/>
  <c r="W8" i="8"/>
  <c r="S8" i="8"/>
  <c r="W7" i="8"/>
  <c r="S7" i="8"/>
  <c r="AE7" i="8"/>
  <c r="AA7" i="8"/>
  <c r="W6" i="8"/>
  <c r="S6" i="8"/>
  <c r="W5" i="8"/>
  <c r="S5" i="8"/>
  <c r="S4" i="8"/>
  <c r="AA4" i="8"/>
  <c r="W4" i="8"/>
  <c r="AD4" i="8" a="1"/>
  <c r="AD4" i="8" s="1"/>
  <c r="AE4" i="8" s="1"/>
  <c r="K3" i="8"/>
  <c r="U3" i="8" l="1"/>
  <c r="AF4" i="8"/>
  <c r="AF5" i="8"/>
  <c r="AF6" i="8"/>
  <c r="AF7" i="8"/>
  <c r="AF8" i="8"/>
  <c r="AF9" i="8"/>
  <c r="AF10" i="8"/>
  <c r="AF3" i="8"/>
  <c r="X10" i="8" a="1"/>
  <c r="X10" i="8" s="1"/>
  <c r="AB8" i="8"/>
  <c r="X4" i="8" a="1"/>
  <c r="X4" i="8" s="1"/>
  <c r="AB5" i="8"/>
  <c r="X8" i="8" a="1"/>
  <c r="X8" i="8" s="1"/>
  <c r="T4" i="8" a="1"/>
  <c r="T4" i="8" s="1"/>
  <c r="AB7" i="8"/>
  <c r="T5" i="8" a="1"/>
  <c r="T5" i="8" s="1"/>
  <c r="X5" i="8" a="1"/>
  <c r="X5" i="8" s="1"/>
  <c r="T8" i="8" a="1"/>
  <c r="T8" i="8" s="1"/>
  <c r="T10" i="8" a="1"/>
  <c r="T10" i="8" s="1"/>
  <c r="AB6" i="8"/>
  <c r="AB9" i="8"/>
  <c r="X9" i="8" a="1"/>
  <c r="X9" i="8" s="1"/>
  <c r="X6" i="8" a="1"/>
  <c r="X6" i="8" s="1"/>
  <c r="T7" i="8" a="1"/>
  <c r="T7" i="8" s="1"/>
  <c r="T3" i="8" a="1"/>
  <c r="T3" i="8" s="1"/>
  <c r="AB3" i="8"/>
  <c r="X7" i="8" a="1"/>
  <c r="X7" i="8" s="1"/>
  <c r="T6" i="8" a="1"/>
  <c r="T6" i="8" s="1"/>
  <c r="T9" i="8" a="1"/>
  <c r="T9" i="8" s="1"/>
  <c r="AB10" i="8"/>
  <c r="X3" i="8" a="1"/>
  <c r="X3" i="8" s="1"/>
  <c r="AB4" i="8"/>
  <c r="AE3" i="8"/>
  <c r="AA3" i="8"/>
  <c r="W3" i="8"/>
  <c r="S3" i="8"/>
  <c r="V3" i="8" l="1"/>
  <c r="Y3" i="8"/>
  <c r="AC3" i="8"/>
  <c r="AG3" i="8"/>
  <c r="AH3" i="8" l="1"/>
  <c r="B2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<sst xmlns="http://schemas.openxmlformats.org/spreadsheetml/2006/main" count="190" uniqueCount="113">
  <si>
    <t>掛率</t>
    <rPh sb="0" eb="1">
      <t>カ</t>
    </rPh>
    <rPh sb="1" eb="2">
      <t>リツ</t>
    </rPh>
    <phoneticPr fontId="1"/>
  </si>
  <si>
    <t>7割軽減</t>
    <rPh sb="1" eb="2">
      <t>ワリ</t>
    </rPh>
    <rPh sb="2" eb="4">
      <t>ケイゲン</t>
    </rPh>
    <phoneticPr fontId="1"/>
  </si>
  <si>
    <t>軽減なし</t>
    <rPh sb="0" eb="2">
      <t>ケイゲン</t>
    </rPh>
    <phoneticPr fontId="1"/>
  </si>
  <si>
    <t>2割軽減</t>
    <rPh sb="1" eb="2">
      <t>ワリ</t>
    </rPh>
    <rPh sb="2" eb="4">
      <t>ケイゲン</t>
    </rPh>
    <phoneticPr fontId="1"/>
  </si>
  <si>
    <t>5割軽減</t>
    <rPh sb="1" eb="2">
      <t>ワリ</t>
    </rPh>
    <rPh sb="2" eb="4">
      <t>ケイゲン</t>
    </rPh>
    <phoneticPr fontId="1"/>
  </si>
  <si>
    <t>合計</t>
    <rPh sb="0" eb="2">
      <t>ゴウケイ</t>
    </rPh>
    <phoneticPr fontId="1"/>
  </si>
  <si>
    <t>世帯主</t>
    <rPh sb="0" eb="3">
      <t>セタイヌシ</t>
    </rPh>
    <phoneticPr fontId="1"/>
  </si>
  <si>
    <t>非加入</t>
    <rPh sb="0" eb="3">
      <t>ヒカニュウ</t>
    </rPh>
    <phoneticPr fontId="1"/>
  </si>
  <si>
    <t>年齢</t>
    <rPh sb="0" eb="2">
      <t>ネンレイ</t>
    </rPh>
    <phoneticPr fontId="1"/>
  </si>
  <si>
    <t>加入者1</t>
    <rPh sb="0" eb="2">
      <t>カニュウ</t>
    </rPh>
    <rPh sb="2" eb="3">
      <t>モノ</t>
    </rPh>
    <phoneticPr fontId="1"/>
  </si>
  <si>
    <t>加入者2</t>
    <rPh sb="0" eb="2">
      <t>カニュウ</t>
    </rPh>
    <rPh sb="2" eb="3">
      <t>モノ</t>
    </rPh>
    <phoneticPr fontId="1"/>
  </si>
  <si>
    <t>加入者3</t>
    <rPh sb="0" eb="2">
      <t>カニュウ</t>
    </rPh>
    <rPh sb="2" eb="3">
      <t>モノ</t>
    </rPh>
    <phoneticPr fontId="1"/>
  </si>
  <si>
    <t>加入者4</t>
    <rPh sb="0" eb="2">
      <t>カニュウ</t>
    </rPh>
    <rPh sb="2" eb="3">
      <t>モノ</t>
    </rPh>
    <phoneticPr fontId="1"/>
  </si>
  <si>
    <t>加入者5</t>
    <rPh sb="0" eb="2">
      <t>カニュウ</t>
    </rPh>
    <rPh sb="2" eb="3">
      <t>モノ</t>
    </rPh>
    <phoneticPr fontId="1"/>
  </si>
  <si>
    <t>加入者6</t>
    <rPh sb="0" eb="2">
      <t>カニュウ</t>
    </rPh>
    <rPh sb="2" eb="3">
      <t>モノ</t>
    </rPh>
    <phoneticPr fontId="1"/>
  </si>
  <si>
    <t>加入者7</t>
    <rPh sb="0" eb="2">
      <t>カニュウ</t>
    </rPh>
    <rPh sb="2" eb="3">
      <t>モノ</t>
    </rPh>
    <phoneticPr fontId="1"/>
  </si>
  <si>
    <t>65歳以上、75歳未満</t>
    <rPh sb="2" eb="3">
      <t>サイ</t>
    </rPh>
    <rPh sb="3" eb="5">
      <t>イジョウ</t>
    </rPh>
    <rPh sb="8" eb="9">
      <t>サイ</t>
    </rPh>
    <rPh sb="9" eb="11">
      <t>ミマン</t>
    </rPh>
    <phoneticPr fontId="1"/>
  </si>
  <si>
    <t>6歳未満（未就学児）</t>
    <rPh sb="1" eb="2">
      <t>サイ</t>
    </rPh>
    <rPh sb="2" eb="4">
      <t>ミマン</t>
    </rPh>
    <rPh sb="5" eb="9">
      <t>ミシュウガクジ</t>
    </rPh>
    <phoneticPr fontId="1"/>
  </si>
  <si>
    <t>40歳以上、65歳未満</t>
    <rPh sb="2" eb="3">
      <t>サイ</t>
    </rPh>
    <rPh sb="3" eb="5">
      <t>イジョウ</t>
    </rPh>
    <rPh sb="8" eb="9">
      <t>サイ</t>
    </rPh>
    <rPh sb="9" eb="11">
      <t>ミマン</t>
    </rPh>
    <phoneticPr fontId="1"/>
  </si>
  <si>
    <t>18歳以上、40歳未満</t>
    <rPh sb="2" eb="3">
      <t>サイ</t>
    </rPh>
    <rPh sb="3" eb="5">
      <t>イジョウ</t>
    </rPh>
    <rPh sb="8" eb="9">
      <t>サイ</t>
    </rPh>
    <rPh sb="9" eb="11">
      <t>ミマン</t>
    </rPh>
    <phoneticPr fontId="1"/>
  </si>
  <si>
    <t>6歳以上、18歳未満</t>
    <rPh sb="1" eb="2">
      <t>サイ</t>
    </rPh>
    <rPh sb="2" eb="4">
      <t>イジョウ</t>
    </rPh>
    <rPh sb="7" eb="10">
      <t>サイミマン</t>
    </rPh>
    <phoneticPr fontId="1"/>
  </si>
  <si>
    <t>生年月日（世帯主）</t>
    <rPh sb="0" eb="4">
      <t>セイネンガッピ</t>
    </rPh>
    <rPh sb="5" eb="8">
      <t>セタイヌシ</t>
    </rPh>
    <phoneticPr fontId="1"/>
  </si>
  <si>
    <t>生年月日（世帯員）</t>
    <rPh sb="0" eb="4">
      <t>セイネンガッピ</t>
    </rPh>
    <rPh sb="5" eb="8">
      <t>セタイイン</t>
    </rPh>
    <phoneticPr fontId="1"/>
  </si>
  <si>
    <t>75歳以上（後期高齢者）</t>
    <rPh sb="2" eb="3">
      <t>サイ</t>
    </rPh>
    <rPh sb="3" eb="5">
      <t>イジョウ</t>
    </rPh>
    <rPh sb="6" eb="11">
      <t>コウキコウレイシャ</t>
    </rPh>
    <phoneticPr fontId="1"/>
  </si>
  <si>
    <t>3月</t>
  </si>
  <si>
    <t>国保加入期間（世帯主）</t>
    <rPh sb="0" eb="6">
      <t>コクホカニュウキカン</t>
    </rPh>
    <rPh sb="7" eb="10">
      <t>セタイヌシ</t>
    </rPh>
    <phoneticPr fontId="1"/>
  </si>
  <si>
    <t>国保加入期間（世帯員）</t>
    <rPh sb="0" eb="6">
      <t>コクホカニュウキカン</t>
    </rPh>
    <rPh sb="7" eb="10">
      <t>セタイイン</t>
    </rPh>
    <phoneticPr fontId="1"/>
  </si>
  <si>
    <t>給与所得</t>
    <rPh sb="0" eb="2">
      <t>キュウヨ</t>
    </rPh>
    <rPh sb="2" eb="4">
      <t>ショトク</t>
    </rPh>
    <phoneticPr fontId="1"/>
  </si>
  <si>
    <t>年金所得</t>
    <rPh sb="0" eb="2">
      <t>ネンキン</t>
    </rPh>
    <rPh sb="2" eb="4">
      <t>ショトク</t>
    </rPh>
    <phoneticPr fontId="1"/>
  </si>
  <si>
    <t>その他の所得</t>
    <rPh sb="2" eb="3">
      <t>タ</t>
    </rPh>
    <rPh sb="4" eb="6">
      <t>ショトク</t>
    </rPh>
    <phoneticPr fontId="1"/>
  </si>
  <si>
    <t>合計所得額</t>
    <rPh sb="0" eb="5">
      <t>ゴウケイショトクガク</t>
    </rPh>
    <phoneticPr fontId="1"/>
  </si>
  <si>
    <t>加入月数</t>
    <rPh sb="0" eb="2">
      <t>カニュウ</t>
    </rPh>
    <rPh sb="2" eb="4">
      <t>ツキスウ</t>
    </rPh>
    <phoneticPr fontId="1"/>
  </si>
  <si>
    <t>4月</t>
    <rPh sb="1" eb="2">
      <t>ツキ</t>
    </rPh>
    <phoneticPr fontId="1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</si>
  <si>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</si>
  <si>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</si>
  <si>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</si>
  <si>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</si>
  <si>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</si>
  <si>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</si>
  <si>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</si>
  <si>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</si>
  <si>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</si>
  <si>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</si>
  <si>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国保加入月</t>
    <rPh sb="0" eb="5">
      <t>コクホカニュウツキ</t>
    </rPh>
    <phoneticPr fontId="1"/>
  </si>
  <si>
    <t>所得割基礎額</t>
    <rPh sb="0" eb="5">
      <t>ショトクワリキソ</t>
    </rPh>
    <rPh sb="5" eb="6">
      <t>ガク</t>
    </rPh>
    <phoneticPr fontId="1"/>
  </si>
  <si>
    <t>医療費</t>
    <rPh sb="0" eb="3">
      <t>イリョウヒ</t>
    </rPh>
    <phoneticPr fontId="1"/>
  </si>
  <si>
    <t>所得割</t>
    <rPh sb="0" eb="3">
      <t>ショトクワリ</t>
    </rPh>
    <phoneticPr fontId="1"/>
  </si>
  <si>
    <t>均等割</t>
    <rPh sb="0" eb="3">
      <t>キントウワリ</t>
    </rPh>
    <phoneticPr fontId="1"/>
  </si>
  <si>
    <t>後期</t>
    <rPh sb="0" eb="2">
      <t>コウキ</t>
    </rPh>
    <phoneticPr fontId="1"/>
  </si>
  <si>
    <t>軽減判定</t>
    <rPh sb="0" eb="4">
      <t>ケイゲンハンテイ</t>
    </rPh>
    <phoneticPr fontId="1"/>
  </si>
  <si>
    <t>加入人数</t>
    <rPh sb="0" eb="4">
      <t>カニュウニンズウ</t>
    </rPh>
    <phoneticPr fontId="1"/>
  </si>
  <si>
    <t>軽減割合</t>
    <rPh sb="0" eb="4">
      <t>ケイゲンワリアイ</t>
    </rPh>
    <phoneticPr fontId="1"/>
  </si>
  <si>
    <t>平等割</t>
    <rPh sb="0" eb="3">
      <t>ビョウドウワリ</t>
    </rPh>
    <phoneticPr fontId="1"/>
  </si>
  <si>
    <t>介護</t>
    <rPh sb="0" eb="2">
      <t>カイゴ</t>
    </rPh>
    <phoneticPr fontId="1"/>
  </si>
  <si>
    <t>該当月数</t>
    <rPh sb="0" eb="2">
      <t>ガイトウ</t>
    </rPh>
    <rPh sb="2" eb="4">
      <t>ツキスウ</t>
    </rPh>
    <phoneticPr fontId="1"/>
  </si>
  <si>
    <t>子ども</t>
    <rPh sb="0" eb="1">
      <t>コ</t>
    </rPh>
    <phoneticPr fontId="1"/>
  </si>
  <si>
    <t>小計</t>
    <rPh sb="0" eb="2">
      <t>ショウケイ</t>
    </rPh>
    <phoneticPr fontId="1"/>
  </si>
  <si>
    <t>入力項目</t>
    <rPh sb="0" eb="4">
      <t>ニュウリョクコウモク</t>
    </rPh>
    <phoneticPr fontId="1"/>
  </si>
  <si>
    <t>限度額</t>
    <rPh sb="0" eb="3">
      <t>ゲンドガク</t>
    </rPh>
    <phoneticPr fontId="1"/>
  </si>
  <si>
    <t>料率</t>
    <rPh sb="0" eb="2">
      <t>リョウリツ</t>
    </rPh>
    <phoneticPr fontId="1"/>
  </si>
  <si>
    <t>均等割額</t>
    <rPh sb="0" eb="3">
      <t>キントウワリ</t>
    </rPh>
    <rPh sb="3" eb="4">
      <t>ガク</t>
    </rPh>
    <phoneticPr fontId="1"/>
  </si>
  <si>
    <t>7割</t>
    <rPh sb="1" eb="2">
      <t>ワリ</t>
    </rPh>
    <phoneticPr fontId="1"/>
  </si>
  <si>
    <t>5割</t>
    <rPh sb="1" eb="2">
      <t>ワリ</t>
    </rPh>
    <phoneticPr fontId="1"/>
  </si>
  <si>
    <t>2割</t>
    <rPh sb="1" eb="2">
      <t>ワリ</t>
    </rPh>
    <phoneticPr fontId="1"/>
  </si>
  <si>
    <t>給与年金所得者数</t>
    <rPh sb="0" eb="2">
      <t>キュウヨ</t>
    </rPh>
    <rPh sb="2" eb="4">
      <t>ネンキン</t>
    </rPh>
    <rPh sb="4" eb="7">
      <t>ショトクシャ</t>
    </rPh>
    <rPh sb="7" eb="8">
      <t>スウ</t>
    </rPh>
    <phoneticPr fontId="1"/>
  </si>
  <si>
    <t>未就学児の軽減</t>
    <rPh sb="0" eb="4">
      <t>ミシュウガクジ</t>
    </rPh>
    <rPh sb="5" eb="7">
      <t>ケイゲン</t>
    </rPh>
    <phoneticPr fontId="1"/>
  </si>
  <si>
    <t>◆ ◇ ◆　R8年度 銚子市 国民健康保険料 の試算にあたって　◆ ◇ ◆</t>
    <phoneticPr fontId="1"/>
  </si>
  <si>
    <t>　 実際の保険料は所得申告額（確定申告書、給与・年金支払報告書）等にもとづいて計算されます</t>
    <rPh sb="5" eb="8">
      <t>ホケンリョウ</t>
    </rPh>
    <rPh sb="9" eb="14">
      <t>ショトクシンコクガク</t>
    </rPh>
    <rPh sb="15" eb="20">
      <t>カクテイシンコクショ</t>
    </rPh>
    <rPh sb="21" eb="23">
      <t>キュウヨ</t>
    </rPh>
    <rPh sb="24" eb="26">
      <t>ネンキン</t>
    </rPh>
    <rPh sb="26" eb="28">
      <t>シハラ</t>
    </rPh>
    <rPh sb="28" eb="31">
      <t>ホウコクショ</t>
    </rPh>
    <rPh sb="32" eb="33">
      <t>ナド</t>
    </rPh>
    <rPh sb="39" eb="41">
      <t>ケイサン</t>
    </rPh>
    <phoneticPr fontId="1"/>
  </si>
  <si>
    <t>◆ 次のいずれかに該当する場合は、このエクセルでは試算できません</t>
    <rPh sb="2" eb="3">
      <t>ツギ</t>
    </rPh>
    <rPh sb="9" eb="11">
      <t>ガイトウ</t>
    </rPh>
    <rPh sb="13" eb="15">
      <t>バアイ</t>
    </rPh>
    <rPh sb="25" eb="27">
      <t>シサン</t>
    </rPh>
    <phoneticPr fontId="1"/>
  </si>
  <si>
    <t>　　1　世帯主および加入者に所得未申告者がいる場合</t>
    <rPh sb="4" eb="7">
      <t>セタイヌシ</t>
    </rPh>
    <rPh sb="10" eb="13">
      <t>カニュウシャ</t>
    </rPh>
    <rPh sb="14" eb="16">
      <t>ショトク</t>
    </rPh>
    <rPh sb="16" eb="20">
      <t>ミシンコクシャ</t>
    </rPh>
    <rPh sb="23" eb="25">
      <t>バアイ</t>
    </rPh>
    <phoneticPr fontId="1"/>
  </si>
  <si>
    <t>　　2　年度の途中に加入者の所得が変わる場合</t>
    <rPh sb="4" eb="6">
      <t>ネンド</t>
    </rPh>
    <rPh sb="7" eb="9">
      <t>トチュウ</t>
    </rPh>
    <rPh sb="10" eb="13">
      <t>カニュウシャ</t>
    </rPh>
    <rPh sb="14" eb="16">
      <t>ショトク</t>
    </rPh>
    <rPh sb="17" eb="18">
      <t>カ</t>
    </rPh>
    <rPh sb="20" eb="22">
      <t>バアイ</t>
    </rPh>
    <phoneticPr fontId="1"/>
  </si>
  <si>
    <t>　　5　分離課税所得、専従者給与・控除、純・雑損失の繰越控除のある方がいる場合</t>
    <rPh sb="4" eb="10">
      <t>ブンリカゼイショトク</t>
    </rPh>
    <rPh sb="11" eb="14">
      <t>センジュウシャ</t>
    </rPh>
    <rPh sb="14" eb="16">
      <t>キュウヨ</t>
    </rPh>
    <rPh sb="17" eb="19">
      <t>コウジョ</t>
    </rPh>
    <rPh sb="20" eb="21">
      <t>ジュン</t>
    </rPh>
    <rPh sb="22" eb="25">
      <t>ザツソンシツ</t>
    </rPh>
    <rPh sb="26" eb="30">
      <t>クリコシコウジョ</t>
    </rPh>
    <rPh sb="33" eb="34">
      <t>カタ</t>
    </rPh>
    <rPh sb="37" eb="39">
      <t>バアイ</t>
    </rPh>
    <phoneticPr fontId="1"/>
  </si>
  <si>
    <t>　　6　所得調整控除を受ける加入者がいる場合</t>
    <rPh sb="4" eb="10">
      <t>ショトクチョウセイコウジョ</t>
    </rPh>
    <rPh sb="11" eb="12">
      <t>ウ</t>
    </rPh>
    <rPh sb="14" eb="17">
      <t>カニュウシャ</t>
    </rPh>
    <rPh sb="20" eb="22">
      <t>バアイ</t>
    </rPh>
    <phoneticPr fontId="1"/>
  </si>
  <si>
    <r>
      <t xml:space="preserve">◆ </t>
    </r>
    <r>
      <rPr>
        <b/>
        <sz val="11"/>
        <color theme="1"/>
        <rFont val="游ゴシック"/>
        <family val="3"/>
        <charset val="128"/>
        <scheme val="minor"/>
      </rPr>
      <t>あくまでも試算であり、実際の国民健康保険料額と金額が異なる場合があります</t>
    </r>
    <phoneticPr fontId="1"/>
  </si>
  <si>
    <t>試算結果</t>
    <rPh sb="0" eb="4">
      <t>シサンケッカ</t>
    </rPh>
    <phoneticPr fontId="1"/>
  </si>
  <si>
    <t>※ あくまでも試算であり、実際の国民健康保険料額と金額が異なる場合があります</t>
    <phoneticPr fontId="1"/>
  </si>
  <si>
    <t>平等割額</t>
    <rPh sb="0" eb="3">
      <t>ビョウドウワリ</t>
    </rPh>
    <rPh sb="3" eb="4">
      <t>ガク</t>
    </rPh>
    <phoneticPr fontId="1"/>
  </si>
  <si>
    <t>給与収入</t>
    <rPh sb="0" eb="4">
      <t>キュウヨシュウニュウ</t>
    </rPh>
    <phoneticPr fontId="1"/>
  </si>
  <si>
    <t>年金収入</t>
    <rPh sb="0" eb="2">
      <t>ネンキン</t>
    </rPh>
    <rPh sb="2" eb="4">
      <t>シュウニュウ</t>
    </rPh>
    <phoneticPr fontId="1"/>
  </si>
  <si>
    <t>給与収入</t>
    <rPh sb="0" eb="2">
      <t>キュウヨ</t>
    </rPh>
    <rPh sb="2" eb="4">
      <t>シュウニュウ</t>
    </rPh>
    <phoneticPr fontId="1"/>
  </si>
  <si>
    <t>給与年金
所得有無</t>
    <rPh sb="0" eb="2">
      <t>キュウヨ</t>
    </rPh>
    <rPh sb="2" eb="4">
      <t>ネンキン</t>
    </rPh>
    <rPh sb="5" eb="7">
      <t>ショトク</t>
    </rPh>
    <rPh sb="7" eb="9">
      <t>ウム</t>
    </rPh>
    <phoneticPr fontId="1"/>
  </si>
  <si>
    <t>給与等の収入金額</t>
  </si>
  <si>
    <t>650,999円未満</t>
    <rPh sb="7" eb="8">
      <t>エン</t>
    </rPh>
    <rPh sb="8" eb="10">
      <t>ミマン</t>
    </rPh>
    <phoneticPr fontId="1"/>
  </si>
  <si>
    <t>=収入額</t>
    <phoneticPr fontId="1"/>
  </si>
  <si>
    <t>651,000円～1,899,999円</t>
  </si>
  <si>
    <t>計算式</t>
    <rPh sb="0" eb="3">
      <t>ケイサンシキ</t>
    </rPh>
    <phoneticPr fontId="1"/>
  </si>
  <si>
    <t>1,900,000円～3,599,999円</t>
  </si>
  <si>
    <t>＝収入額-650,000円</t>
    <rPh sb="1" eb="4">
      <t>シュウニュウガク</t>
    </rPh>
    <phoneticPr fontId="1"/>
  </si>
  <si>
    <t>＝ROUNDDOWN(収入額÷4,-3）×2.8-80,000</t>
    <rPh sb="11" eb="14">
      <t>シュウニュウガク</t>
    </rPh>
    <phoneticPr fontId="1"/>
  </si>
  <si>
    <t>3,600,000円～6,599,999円</t>
  </si>
  <si>
    <t>＝ROUNDDOWN(収入額÷4,-3）×3.2-440,000</t>
    <rPh sb="11" eb="14">
      <t>シュウニュウガク</t>
    </rPh>
    <phoneticPr fontId="1"/>
  </si>
  <si>
    <t>6,600,000円～8,499,999円</t>
  </si>
  <si>
    <t>＝収入額×0.9-1,100,000</t>
    <rPh sb="1" eb="4">
      <t>シュウニュウガク</t>
    </rPh>
    <phoneticPr fontId="1"/>
  </si>
  <si>
    <t>8,500,000円～</t>
  </si>
  <si>
    <t>=収入額-1,950,000</t>
    <rPh sb="1" eb="4">
      <t>シュウニュウガク</t>
    </rPh>
    <phoneticPr fontId="1"/>
  </si>
  <si>
    <t>給与所得1</t>
    <rPh sb="0" eb="4">
      <t>キュウヨショトク</t>
    </rPh>
    <phoneticPr fontId="1"/>
  </si>
  <si>
    <t>給与所得2</t>
    <rPh sb="0" eb="4">
      <t>キュウヨショトク</t>
    </rPh>
    <phoneticPr fontId="1"/>
  </si>
  <si>
    <t>給与所得3</t>
    <rPh sb="0" eb="4">
      <t>キュウヨショトク</t>
    </rPh>
    <phoneticPr fontId="1"/>
  </si>
  <si>
    <t>給与所得4</t>
    <rPh sb="0" eb="4">
      <t>キュウヨショトク</t>
    </rPh>
    <phoneticPr fontId="1"/>
  </si>
  <si>
    <t>給与所得5</t>
    <rPh sb="0" eb="4">
      <t>キュウヨショトク</t>
    </rPh>
    <phoneticPr fontId="1"/>
  </si>
  <si>
    <t>給与所得6</t>
    <rPh sb="0" eb="4">
      <t>キュウヨショトク</t>
    </rPh>
    <phoneticPr fontId="1"/>
  </si>
  <si>
    <t>年金所得2</t>
    <rPh sb="0" eb="4">
      <t>ネンキンショトク</t>
    </rPh>
    <phoneticPr fontId="1"/>
  </si>
  <si>
    <t>年金所得3</t>
    <rPh sb="0" eb="4">
      <t>ネンキンショトク</t>
    </rPh>
    <phoneticPr fontId="1"/>
  </si>
  <si>
    <t>年金所得5</t>
    <rPh sb="0" eb="4">
      <t>ネンキンショトク</t>
    </rPh>
    <phoneticPr fontId="1"/>
  </si>
  <si>
    <t>年金所得6</t>
    <rPh sb="0" eb="4">
      <t>ネンキンショトク</t>
    </rPh>
    <phoneticPr fontId="1"/>
  </si>
  <si>
    <t>65歳未満
年金所得1</t>
    <rPh sb="2" eb="3">
      <t>サイ</t>
    </rPh>
    <rPh sb="3" eb="5">
      <t>ミマン</t>
    </rPh>
    <rPh sb="6" eb="10">
      <t>ネンキンショトク</t>
    </rPh>
    <phoneticPr fontId="1"/>
  </si>
  <si>
    <t>65歳以上
年金所得4</t>
    <rPh sb="2" eb="5">
      <t>サイイジョウ</t>
    </rPh>
    <rPh sb="6" eb="10">
      <t>ネンキンショトク</t>
    </rPh>
    <phoneticPr fontId="1"/>
  </si>
  <si>
    <t>65歳
未満＝1</t>
    <rPh sb="2" eb="3">
      <t>サイ</t>
    </rPh>
    <rPh sb="4" eb="6">
      <t>ミマン</t>
    </rPh>
    <phoneticPr fontId="1"/>
  </si>
  <si>
    <t>65歳
以上＝1</t>
    <rPh sb="2" eb="3">
      <t>サイ</t>
    </rPh>
    <rPh sb="4" eb="5">
      <t>イ</t>
    </rPh>
    <rPh sb="5" eb="6">
      <t>ウエ</t>
    </rPh>
    <phoneticPr fontId="1"/>
  </si>
  <si>
    <t>　　4　年度の途中で40歳、65歳、75歳になる方がいる場合</t>
    <rPh sb="4" eb="6">
      <t>ネンド</t>
    </rPh>
    <rPh sb="7" eb="9">
      <t>トチュウ</t>
    </rPh>
    <rPh sb="12" eb="13">
      <t>サイ</t>
    </rPh>
    <rPh sb="16" eb="17">
      <t>サイ</t>
    </rPh>
    <rPh sb="20" eb="21">
      <t>サイ</t>
    </rPh>
    <rPh sb="24" eb="25">
      <t>カタ</t>
    </rPh>
    <rPh sb="28" eb="30">
      <t>バアイ</t>
    </rPh>
    <phoneticPr fontId="1"/>
  </si>
  <si>
    <t>　　3　年度の途中で国民健康保険に加入、脱退する方がいる場合</t>
    <rPh sb="4" eb="6">
      <t>ネンド</t>
    </rPh>
    <rPh sb="7" eb="9">
      <t>トチュウ</t>
    </rPh>
    <rPh sb="10" eb="16">
      <t>コクミンケンコウホケン</t>
    </rPh>
    <rPh sb="17" eb="19">
      <t>カニュウ</t>
    </rPh>
    <rPh sb="20" eb="22">
      <t>ダッタイ</t>
    </rPh>
    <rPh sb="24" eb="25">
      <t>カタ</t>
    </rPh>
    <rPh sb="28" eb="30">
      <t>バアイ</t>
    </rPh>
    <phoneticPr fontId="1"/>
  </si>
  <si>
    <t>　　7　非自発的失業者の減免、旧被扶養者減免、産前産後期間の減免に該当する方がいる場合</t>
    <rPh sb="4" eb="11">
      <t>ヒジハツテキシツギョウシャ</t>
    </rPh>
    <rPh sb="12" eb="14">
      <t>ゲンメン</t>
    </rPh>
    <rPh sb="15" eb="20">
      <t>キュウヒフヨウシャ</t>
    </rPh>
    <rPh sb="20" eb="22">
      <t>ゲンメン</t>
    </rPh>
    <rPh sb="23" eb="27">
      <t>サンゼンサンゴ</t>
    </rPh>
    <rPh sb="27" eb="29">
      <t>キカン</t>
    </rPh>
    <rPh sb="30" eb="32">
      <t>ゲンメン</t>
    </rPh>
    <rPh sb="33" eb="35">
      <t>ガイトウ</t>
    </rPh>
    <rPh sb="37" eb="38">
      <t>カタ</t>
    </rPh>
    <rPh sb="41" eb="43">
      <t>バアイ</t>
    </rPh>
    <phoneticPr fontId="1"/>
  </si>
  <si>
    <t>（年額）</t>
    <rPh sb="1" eb="3">
      <t>ネンガク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</si>
</sst>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&quot; 円&quot;"/>
    <numFmt numFmtId="177" formatCode="#,##0_ "/>
    <numFmt numFmtId="178" formatCode="#,##0.0000_ "/>
    <numFmt numFmtId="179" formatCode="#,##0.0_ 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9" fontId="0" fillId="0" borderId="0" xfId="0" applyNumberFormat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58" fontId="0" fillId="0" borderId="0" xfId="0" applyNumberFormat="1">
      <alignment vertical="center"/>
    </xf>
    <xf numFmtId="176" fontId="0" fillId="0" borderId="3" xfId="0" applyNumberFormat="1" applyBorder="1">
      <alignment vertical="center"/>
    </xf>
    <xf numFmtId="177" fontId="0" fillId="0" borderId="0" xfId="0" applyNumberFormat="1">
      <alignment vertical="center"/>
    </xf>
    <xf numFmtId="177" fontId="0" fillId="3" borderId="3" xfId="0" applyNumberForma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177" fontId="0" fillId="0" borderId="3" xfId="0" applyNumberFormat="1" applyBorder="1" applyAlignment="1">
      <alignment horizontal="center" vertical="center"/>
    </xf>
    <xf numFmtId="0" fontId="0" fillId="0" borderId="3" xfId="0" quotePrefix="1" applyBorder="1">
      <alignment vertical="center"/>
    </xf>
    <xf numFmtId="0" fontId="0" fillId="3" borderId="3" xfId="0" quotePrefix="1" applyFill="1" applyBorder="1">
      <alignment vertical="center"/>
    </xf>
    <xf numFmtId="9" fontId="0" fillId="3" borderId="3" xfId="0" applyNumberFormat="1" applyFill="1" applyBorder="1">
      <alignment vertical="center"/>
    </xf>
    <xf numFmtId="177" fontId="0" fillId="0" borderId="3" xfId="0" applyNumberFormat="1" applyBorder="1">
      <alignment vertical="center"/>
    </xf>
    <xf numFmtId="177" fontId="0" fillId="3" borderId="3" xfId="0" applyNumberFormat="1" applyFill="1" applyBorder="1">
      <alignment vertical="center"/>
    </xf>
    <xf numFmtId="177" fontId="0" fillId="4" borderId="3" xfId="0" applyNumberFormat="1" applyFill="1" applyBorder="1" applyAlignment="1">
      <alignment horizontal="center" vertical="center"/>
    </xf>
    <xf numFmtId="177" fontId="0" fillId="4" borderId="3" xfId="0" applyNumberFormat="1" applyFill="1" applyBorder="1">
      <alignment vertical="center"/>
    </xf>
    <xf numFmtId="0" fontId="0" fillId="4" borderId="3" xfId="0" applyFill="1" applyBorder="1" applyAlignment="1">
      <alignment horizontal="center" vertical="center"/>
    </xf>
    <xf numFmtId="0" fontId="0" fillId="4" borderId="3" xfId="0" applyFill="1" applyBorder="1">
      <alignment vertical="center"/>
    </xf>
    <xf numFmtId="0" fontId="0" fillId="2" borderId="3" xfId="0" applyFill="1" applyBorder="1">
      <alignment vertical="center"/>
    </xf>
    <xf numFmtId="176" fontId="0" fillId="2" borderId="3" xfId="0" applyNumberFormat="1" applyFill="1" applyBorder="1">
      <alignment vertical="center"/>
    </xf>
    <xf numFmtId="177" fontId="0" fillId="5" borderId="0" xfId="0" applyNumberFormat="1" applyFill="1">
      <alignment vertical="center"/>
    </xf>
    <xf numFmtId="178" fontId="0" fillId="5" borderId="0" xfId="0" applyNumberFormat="1" applyFill="1">
      <alignment vertical="center"/>
    </xf>
    <xf numFmtId="0" fontId="0" fillId="5" borderId="0" xfId="0" applyFill="1">
      <alignment vertical="center"/>
    </xf>
    <xf numFmtId="179" fontId="0" fillId="5" borderId="0" xfId="0" applyNumberFormat="1" applyFill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176" fontId="3" fillId="0" borderId="7" xfId="0" applyNumberFormat="1" applyFont="1" applyBorder="1">
      <alignment vertical="center"/>
    </xf>
    <xf numFmtId="176" fontId="4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quotePrefix="1">
      <alignment vertical="center"/>
    </xf>
    <xf numFmtId="176" fontId="0" fillId="7" borderId="3" xfId="0" applyNumberFormat="1" applyFill="1" applyBorder="1">
      <alignment vertical="center"/>
    </xf>
    <xf numFmtId="0" fontId="5" fillId="0" borderId="0" xfId="0" applyFont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Protection="1">
      <alignment vertical="center"/>
      <protection locked="0"/>
    </xf>
    <xf numFmtId="0" fontId="5" fillId="2" borderId="3" xfId="0" applyFont="1" applyFill="1" applyBorder="1" applyProtection="1">
      <alignment vertical="center"/>
      <protection locked="0"/>
    </xf>
    <xf numFmtId="176" fontId="5" fillId="2" borderId="3" xfId="0" applyNumberFormat="1" applyFont="1" applyFill="1" applyBorder="1" applyProtection="1">
      <alignment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  <color rgb="FFFFCC66"/>
      <color rgb="FFFFFF00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metadata.xml" Type="http://schemas.openxmlformats.org/officeDocument/2006/relationships/sheetMetadata"/><Relationship Id="rId9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16E88-202D-422E-9757-0513175671E4}">
  <sheetPr>
    <pageSetUpPr fitToPage="1"/>
  </sheetPr>
  <dimension ref="A1:F29"/>
  <sheetViews>
    <sheetView tabSelected="1" topLeftCell="A8" workbookViewId="0">
      <selection activeCell="A12" sqref="A12"/>
    </sheetView>
  </sheetViews>
  <sheetFormatPr defaultRowHeight="19.5" x14ac:dyDescent="0.4"/>
  <cols>
    <col min="1" max="1" width="10" style="27" customWidth="1"/>
    <col min="2" max="2" width="26.25" style="27" customWidth="1"/>
    <col min="3" max="3" width="13.75" style="27" customWidth="1"/>
    <col min="4" max="6" width="15" style="27" customWidth="1"/>
    <col min="7" max="16384" width="9" style="27"/>
  </cols>
  <sheetData>
    <row r="1" spans="1:6" customFormat="1" ht="24" x14ac:dyDescent="0.4">
      <c r="A1" s="53" t="s">
        <v>66</v>
      </c>
      <c r="B1" s="53"/>
      <c r="C1" s="53"/>
      <c r="D1" s="53"/>
      <c r="E1" s="53"/>
      <c r="F1" s="53"/>
    </row>
    <row r="2" spans="1:6" customFormat="1" ht="18.75" x14ac:dyDescent="0.4">
      <c r="A2" s="54"/>
      <c r="B2" s="54"/>
      <c r="C2" s="54"/>
      <c r="D2" s="54"/>
      <c r="E2" s="54"/>
      <c r="F2" s="54"/>
    </row>
    <row r="3" spans="1:6" customFormat="1" ht="18.75" x14ac:dyDescent="0.4">
      <c r="A3" s="54" t="s">
        <v>73</v>
      </c>
      <c r="B3" s="54"/>
      <c r="C3" s="54"/>
      <c r="D3" s="54"/>
      <c r="E3" s="54"/>
      <c r="F3" s="54"/>
    </row>
    <row r="4" spans="1:6" customFormat="1" ht="18.75" x14ac:dyDescent="0.4">
      <c r="A4" s="54" t="s">
        <v>67</v>
      </c>
      <c r="B4" s="54"/>
      <c r="C4" s="54"/>
      <c r="D4" s="54"/>
      <c r="E4" s="54"/>
      <c r="F4" s="54"/>
    </row>
    <row r="5" spans="1:6" customFormat="1" ht="18.75" x14ac:dyDescent="0.4">
      <c r="A5" s="55" t="s">
        <v>68</v>
      </c>
      <c r="B5" s="54"/>
      <c r="C5" s="54"/>
      <c r="D5" s="54"/>
      <c r="E5" s="54"/>
      <c r="F5" s="54"/>
    </row>
    <row r="6" spans="1:6" customFormat="1" ht="18.75" x14ac:dyDescent="0.4">
      <c r="A6" s="54" t="s">
        <v>69</v>
      </c>
      <c r="B6" s="54"/>
      <c r="C6" s="54"/>
      <c r="D6" s="54"/>
      <c r="E6" s="54"/>
      <c r="F6" s="54"/>
    </row>
    <row r="7" spans="1:6" customFormat="1" ht="18.75" x14ac:dyDescent="0.4">
      <c r="A7" s="54" t="s">
        <v>70</v>
      </c>
      <c r="B7" s="54"/>
      <c r="C7" s="54"/>
      <c r="D7" s="54"/>
      <c r="E7" s="54"/>
      <c r="F7" s="54"/>
    </row>
    <row r="8" spans="1:6" customFormat="1" ht="18.75" x14ac:dyDescent="0.4">
      <c r="A8" s="54" t="s">
        <v>110</v>
      </c>
      <c r="B8" s="54"/>
      <c r="C8" s="54"/>
      <c r="D8" s="54"/>
      <c r="E8" s="54"/>
      <c r="F8" s="54"/>
    </row>
    <row r="9" spans="1:6" customFormat="1" ht="18.75" x14ac:dyDescent="0.4">
      <c r="A9" s="54" t="s">
        <v>109</v>
      </c>
      <c r="B9" s="54"/>
      <c r="C9" s="54"/>
      <c r="D9" s="54"/>
      <c r="E9" s="54"/>
      <c r="F9" s="54"/>
    </row>
    <row r="10" spans="1:6" customFormat="1" ht="18.75" x14ac:dyDescent="0.4">
      <c r="A10" s="54" t="s">
        <v>71</v>
      </c>
      <c r="B10" s="54"/>
      <c r="C10" s="54"/>
      <c r="D10" s="54"/>
      <c r="E10" s="54"/>
      <c r="F10" s="54"/>
    </row>
    <row r="11" spans="1:6" customFormat="1" ht="18.75" x14ac:dyDescent="0.4">
      <c r="A11" s="54" t="s">
        <v>72</v>
      </c>
      <c r="B11" s="54"/>
      <c r="C11" s="54"/>
      <c r="D11" s="54"/>
      <c r="E11" s="54"/>
      <c r="F11" s="54"/>
    </row>
    <row r="12" spans="1:6" customFormat="1" ht="18.75" x14ac:dyDescent="0.4">
      <c r="A12" s="54" t="s">
        <v>111</v>
      </c>
      <c r="B12" s="54"/>
      <c r="C12" s="54"/>
      <c r="D12" s="54"/>
      <c r="E12" s="54"/>
      <c r="F12" s="54"/>
    </row>
    <row r="13" spans="1:6" x14ac:dyDescent="0.4">
      <c r="A13" s="56"/>
      <c r="B13" s="56"/>
      <c r="C13" s="56"/>
      <c r="D13" s="56"/>
      <c r="E13" s="56"/>
      <c r="F13" s="56"/>
    </row>
    <row r="14" spans="1:6" x14ac:dyDescent="0.4">
      <c r="A14" s="57" t="s">
        <v>57</v>
      </c>
      <c r="B14" s="56"/>
      <c r="C14" s="56"/>
      <c r="D14" s="56"/>
      <c r="E14" s="56"/>
      <c r="F14" s="56"/>
    </row>
    <row r="15" spans="1:6" x14ac:dyDescent="0.4">
      <c r="A15" s="58"/>
      <c r="B15" s="59" t="s">
        <v>8</v>
      </c>
      <c r="C15" s="59" t="s">
        <v>43</v>
      </c>
      <c r="D15" s="59" t="s">
        <v>77</v>
      </c>
      <c r="E15" s="59" t="s">
        <v>78</v>
      </c>
      <c r="F15" s="59" t="s">
        <v>29</v>
      </c>
    </row>
    <row r="16" spans="1:6" x14ac:dyDescent="0.4">
      <c r="A16" s="60" t="s">
        <v>6</v>
      </c>
      <c r="B16" s="61"/>
      <c r="C16" s="61"/>
      <c r="D16" s="62"/>
      <c r="E16" s="62"/>
      <c r="F16" s="62"/>
    </row>
    <row r="17" spans="1:6" x14ac:dyDescent="0.4">
      <c r="A17" s="60" t="s">
        <v>9</v>
      </c>
      <c r="B17" s="61"/>
      <c r="C17" s="61"/>
      <c r="D17" s="62"/>
      <c r="E17" s="62"/>
      <c r="F17" s="62"/>
    </row>
    <row r="18" spans="1:6" x14ac:dyDescent="0.4">
      <c r="A18" s="60" t="s">
        <v>10</v>
      </c>
      <c r="B18" s="61"/>
      <c r="C18" s="61"/>
      <c r="D18" s="62"/>
      <c r="E18" s="62"/>
      <c r="F18" s="62"/>
    </row>
    <row r="19" spans="1:6" x14ac:dyDescent="0.4">
      <c r="A19" s="60" t="s">
        <v>11</v>
      </c>
      <c r="B19" s="61"/>
      <c r="C19" s="61"/>
      <c r="D19" s="62"/>
      <c r="E19" s="62"/>
      <c r="F19" s="62"/>
    </row>
    <row r="20" spans="1:6" x14ac:dyDescent="0.4">
      <c r="A20" s="60" t="s">
        <v>12</v>
      </c>
      <c r="B20" s="61"/>
      <c r="C20" s="61"/>
      <c r="D20" s="62"/>
      <c r="E20" s="62"/>
      <c r="F20" s="62"/>
    </row>
    <row r="21" spans="1:6" x14ac:dyDescent="0.4">
      <c r="A21" s="60" t="s">
        <v>13</v>
      </c>
      <c r="B21" s="61"/>
      <c r="C21" s="61"/>
      <c r="D21" s="62"/>
      <c r="E21" s="62"/>
      <c r="F21" s="62"/>
    </row>
    <row r="22" spans="1:6" x14ac:dyDescent="0.4">
      <c r="A22" s="60" t="s">
        <v>14</v>
      </c>
      <c r="B22" s="61"/>
      <c r="C22" s="61"/>
      <c r="D22" s="62"/>
      <c r="E22" s="62"/>
      <c r="F22" s="62"/>
    </row>
    <row r="23" spans="1:6" x14ac:dyDescent="0.4">
      <c r="A23" s="60" t="s">
        <v>15</v>
      </c>
      <c r="B23" s="61"/>
      <c r="C23" s="61"/>
      <c r="D23" s="62"/>
      <c r="E23" s="62"/>
      <c r="F23" s="62"/>
    </row>
    <row r="24" spans="1:6" x14ac:dyDescent="0.4">
      <c r="A24" s="56"/>
      <c r="B24" s="56"/>
      <c r="C24" s="56"/>
      <c r="D24" s="56"/>
      <c r="E24" s="56"/>
      <c r="F24" s="56"/>
    </row>
    <row r="25" spans="1:6" x14ac:dyDescent="0.4">
      <c r="A25" s="56"/>
      <c r="B25" s="56"/>
      <c r="C25" s="56"/>
      <c r="D25" s="56"/>
      <c r="E25" s="56"/>
      <c r="F25" s="56"/>
    </row>
    <row r="26" spans="1:6" ht="24" x14ac:dyDescent="0.4">
      <c r="A26" s="26" t="s">
        <v>74</v>
      </c>
      <c r="B26" s="29" t="e">
        <f>計算!AH3</f>
        <v>#N/A</v>
      </c>
      <c r="C26" s="27" t="s">
        <v>112</v>
      </c>
    </row>
    <row r="27" spans="1:6" x14ac:dyDescent="0.4">
      <c r="B27" s="28"/>
    </row>
    <row r="28" spans="1:6" x14ac:dyDescent="0.4">
      <c r="A28" s="33" t="s">
        <v>75</v>
      </c>
      <c r="B28" s="33"/>
      <c r="C28" s="33"/>
      <c r="D28" s="33"/>
      <c r="E28" s="33"/>
      <c r="F28" s="33"/>
    </row>
    <row r="29" spans="1:6" x14ac:dyDescent="0.4">
      <c r="A29" s="33" t="s">
        <v>67</v>
      </c>
      <c r="B29" s="33"/>
      <c r="C29" s="33"/>
      <c r="D29" s="33"/>
      <c r="E29" s="33"/>
      <c r="F29" s="33"/>
    </row>
  </sheetData>
  <sheetProtection algorithmName="SHA-512" hashValue="NLGfRx5ET6M6jjYMO4iTtRFRsAU+iPqyhgThFVLdzmmCkcmphji+sD0M3BMXeDUNFR3uGWwu+90ecdFzdg/JAQ==" saltValue="+23MBjzYMKaR6XEEK2NiMg==" spinCount="100000" sheet="1" objects="1" scenarios="1"/>
  <protectedRanges>
    <protectedRange algorithmName="SHA-512" hashValue="YFV0TaAWFAN0EclLzPdsREtt/2/DU4vExn6UhucTdE1KRWqf+fSmf1goN/4bDibU6k57awaNup95N5Aq9HPP4g==" saltValue="4hVLOaSfr2kBOR8uppaqsQ==" spinCount="100000" sqref="B26" name="範囲1"/>
  </protectedRanges>
  <mergeCells count="3">
    <mergeCell ref="A28:F28"/>
    <mergeCell ref="A29:F29"/>
    <mergeCell ref="A1:F1"/>
  </mergeCells>
  <phoneticPr fontId="1"/>
  <pageMargins left="0.78740157480314965" right="0.78740157480314965" top="0.98425196850393704" bottom="0.98425196850393704" header="0.31496062992125984" footer="0.31496062992125984"/>
  <pageSetup paperSize="9" scale="82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A0BD453-D3A7-44D6-8D22-E7BCD75B4E61}">
          <x14:formula1>
            <xm:f>ドロップダウンリスト!$D$2:$D$13</xm:f>
          </x14:formula1>
          <xm:sqref>C17:C23</xm:sqref>
        </x14:dataValidation>
        <x14:dataValidation type="list" allowBlank="1" showInputMessage="1" showErrorMessage="1" xr:uid="{1623CAF6-BA35-4D7E-BBB5-93A12D6E694B}">
          <x14:formula1>
            <xm:f>ドロップダウンリスト!$C$2:$C$14</xm:f>
          </x14:formula1>
          <xm:sqref>C16</xm:sqref>
        </x14:dataValidation>
        <x14:dataValidation type="list" allowBlank="1" showInputMessage="1" showErrorMessage="1" xr:uid="{C249E7F6-8131-49FF-B7E5-57D2C32D6EAB}">
          <x14:formula1>
            <xm:f>ドロップダウンリスト!$A$2:$A$7</xm:f>
          </x14:formula1>
          <xm:sqref>B16</xm:sqref>
        </x14:dataValidation>
        <x14:dataValidation type="list" allowBlank="1" showInputMessage="1" showErrorMessage="1" xr:uid="{4BB3FC6A-0A1B-4897-9408-83502DB5C7F9}">
          <x14:formula1>
            <xm:f>ドロップダウンリスト!$B$2:$B$6</xm:f>
          </x14:formula1>
          <xm:sqref>B17:B23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1FD39-B8F3-4C73-B9EC-541729C5B552}">
  <sheetPr>
    <tabColor theme="1"/>
  </sheetPr>
  <dimension ref="A1:T18"/>
  <sheetViews>
    <sheetView workbookViewId="0">
      <pane xSplit="2" ySplit="2" topLeftCell="J3" activePane="bottomRight" state="frozen"/>
      <selection pane="topRight" activeCell="C1" sqref="C1"/>
      <selection pane="bottomLeft" activeCell="A3" sqref="A3"/>
      <selection pane="bottomRight" activeCell="B13" sqref="B13"/>
    </sheetView>
  </sheetViews>
  <sheetFormatPr defaultRowHeight="18.75" x14ac:dyDescent="0.4"/>
  <cols>
    <col min="2" max="2" width="23.625" bestFit="1" customWidth="1"/>
    <col min="3" max="3" width="12.125" bestFit="1" customWidth="1"/>
    <col min="4" max="9" width="12.875" customWidth="1"/>
    <col min="10" max="11" width="12.125" bestFit="1" customWidth="1"/>
    <col min="12" max="13" width="8.125" bestFit="1" customWidth="1"/>
    <col min="14" max="16" width="11.375" bestFit="1" customWidth="1"/>
    <col min="17" max="17" width="13" bestFit="1" customWidth="1"/>
    <col min="18" max="18" width="12.125" bestFit="1" customWidth="1"/>
    <col min="19" max="19" width="11.375" bestFit="1" customWidth="1"/>
    <col min="20" max="20" width="12.125" bestFit="1" customWidth="1"/>
  </cols>
  <sheetData>
    <row r="1" spans="1:20" s="1" customFormat="1" x14ac:dyDescent="0.4">
      <c r="A1" s="34"/>
      <c r="B1" s="36" t="s">
        <v>8</v>
      </c>
      <c r="C1" s="36" t="s">
        <v>79</v>
      </c>
      <c r="D1" s="34" t="s">
        <v>95</v>
      </c>
      <c r="E1" s="34" t="s">
        <v>96</v>
      </c>
      <c r="F1" s="34" t="s">
        <v>97</v>
      </c>
      <c r="G1" s="34" t="s">
        <v>98</v>
      </c>
      <c r="H1" s="34" t="s">
        <v>99</v>
      </c>
      <c r="I1" s="34" t="s">
        <v>100</v>
      </c>
      <c r="J1" s="38" t="s">
        <v>27</v>
      </c>
      <c r="K1" s="36" t="s">
        <v>78</v>
      </c>
      <c r="L1" s="39" t="s">
        <v>107</v>
      </c>
      <c r="M1" s="39" t="s">
        <v>108</v>
      </c>
      <c r="N1" s="39" t="s">
        <v>105</v>
      </c>
      <c r="O1" s="34" t="s">
        <v>101</v>
      </c>
      <c r="P1" s="34" t="s">
        <v>102</v>
      </c>
      <c r="Q1" s="39" t="s">
        <v>106</v>
      </c>
      <c r="R1" s="34" t="s">
        <v>103</v>
      </c>
      <c r="S1" s="34" t="s">
        <v>104</v>
      </c>
      <c r="T1" s="38" t="s">
        <v>28</v>
      </c>
    </row>
    <row r="2" spans="1:20" s="1" customFormat="1" x14ac:dyDescent="0.4">
      <c r="A2" s="35"/>
      <c r="B2" s="37"/>
      <c r="C2" s="37"/>
      <c r="D2" s="35"/>
      <c r="E2" s="35"/>
      <c r="F2" s="35"/>
      <c r="G2" s="35"/>
      <c r="H2" s="35"/>
      <c r="I2" s="35"/>
      <c r="J2" s="38"/>
      <c r="K2" s="37"/>
      <c r="L2" s="35"/>
      <c r="M2" s="35"/>
      <c r="N2" s="35"/>
      <c r="O2" s="35"/>
      <c r="P2" s="35"/>
      <c r="Q2" s="35"/>
      <c r="R2" s="35"/>
      <c r="S2" s="35"/>
      <c r="T2" s="38"/>
    </row>
    <row r="3" spans="1:20" x14ac:dyDescent="0.4">
      <c r="A3" s="4" t="s">
        <v>6</v>
      </c>
      <c r="B3" s="20">
        <f>試算!B16</f>
        <v>0</v>
      </c>
      <c r="C3" s="21">
        <f>試算!D16</f>
        <v>0</v>
      </c>
      <c r="D3" s="6">
        <f>IF(C3&lt;650999,C3,0)</f>
        <v>0</v>
      </c>
      <c r="E3" s="6">
        <f>IF(AND(C3&gt;650999,C3&lt;1900000),C3,0)-650000</f>
        <v>-650000</v>
      </c>
      <c r="F3" s="6">
        <f>ROUNDDOWN(IF(AND(C3&gt;1899999,C3&lt;3600000),C3,0)/4,-3)*2.8-80000</f>
        <v>-80000</v>
      </c>
      <c r="G3" s="6">
        <f>ROUNDDOWN(IF(AND(C3&gt;3599999,C3&lt;6600000),C3,0)/4,-3)*3.2-440000</f>
        <v>-440000</v>
      </c>
      <c r="H3" s="6">
        <f t="shared" ref="H3:H10" si="0">IF(AND(C3&gt;6599999,C3&lt;8500000),C3,0)*0.9-1100000</f>
        <v>-1100000</v>
      </c>
      <c r="I3" s="6">
        <f>IF(C3&gt;8499999,C3,1950000)-1950000</f>
        <v>0</v>
      </c>
      <c r="J3" s="32">
        <f>MAX(D3:I3)</f>
        <v>0</v>
      </c>
      <c r="K3" s="21">
        <f>試算!E16</f>
        <v>0</v>
      </c>
      <c r="L3" s="4">
        <f>IF(B3="40歳以上、65歳未満",1,0)</f>
        <v>0</v>
      </c>
      <c r="M3" s="4">
        <f t="shared" ref="M3:M10" si="1">IF(B3="65歳以上、75歳未満",1,0)</f>
        <v>0</v>
      </c>
      <c r="N3" s="6">
        <f>IF(K3&lt;1300000,K3,0)*L3-600000</f>
        <v>-600000</v>
      </c>
      <c r="O3" s="6">
        <f t="shared" ref="O3:O10" si="2">IF(AND(K3&gt;1299999,K3&lt;4100000),K3,0)*L3*0.75-275000</f>
        <v>-275000</v>
      </c>
      <c r="P3" s="6">
        <f>IF(AND(K3&gt;4099999,K3&lt;7700000),K3,0)*L3*0.85-685000</f>
        <v>-685000</v>
      </c>
      <c r="Q3" s="6">
        <f t="shared" ref="Q3:Q10" si="3">IF(K3&lt;3300000,K3,0)*M3-1100000</f>
        <v>-1100000</v>
      </c>
      <c r="R3" s="6">
        <f t="shared" ref="R3:R10" si="4">IF(AND(K3&gt;3299999,K3&lt;4100000),K3,0)*M3*0.75-275000</f>
        <v>-275000</v>
      </c>
      <c r="S3" s="6">
        <f t="shared" ref="S3:S10" si="5">IF(AND(K3&gt;4099999,K3&lt;7700000),K3,0)*M3*0.85-685000</f>
        <v>-685000</v>
      </c>
      <c r="T3" s="32">
        <f>IF(MAX(N3:S3)&gt;0,MAX(N3:S3),0)</f>
        <v>0</v>
      </c>
    </row>
    <row r="4" spans="1:20" x14ac:dyDescent="0.4">
      <c r="A4" s="4" t="s">
        <v>9</v>
      </c>
      <c r="B4" s="20">
        <f>試算!B17</f>
        <v>0</v>
      </c>
      <c r="C4" s="21">
        <f>試算!D17</f>
        <v>0</v>
      </c>
      <c r="D4" s="6">
        <f>IF(C4&lt;650999,C4,0)</f>
        <v>0</v>
      </c>
      <c r="E4" s="6">
        <f t="shared" ref="E4:E10" si="6">IF(AND(C4&gt;650999,C4&lt;1900000),C4,0)-650000</f>
        <v>-650000</v>
      </c>
      <c r="F4" s="6">
        <f t="shared" ref="F4:F10" si="7">ROUNDDOWN(IF(AND(C4&gt;1899999,C4&lt;3600000),C4,0)/4,-3)*2.8-80000</f>
        <v>-80000</v>
      </c>
      <c r="G4" s="6">
        <f t="shared" ref="G4:G10" si="8">ROUNDDOWN(IF(AND(C4&gt;3599999,C4&lt;6600000),C4,0)/4,-3)*3.2-440000</f>
        <v>-440000</v>
      </c>
      <c r="H4" s="6">
        <f t="shared" si="0"/>
        <v>-1100000</v>
      </c>
      <c r="I4" s="6">
        <f t="shared" ref="I4:I10" si="9">IF(C4&gt;8499999,C4,1950000)-1950000</f>
        <v>0</v>
      </c>
      <c r="J4" s="32">
        <f t="shared" ref="J4:J10" si="10">MAX(D4:I4)</f>
        <v>0</v>
      </c>
      <c r="K4" s="21">
        <f>試算!E17</f>
        <v>0</v>
      </c>
      <c r="L4" s="4">
        <f t="shared" ref="L4:L10" si="11">IF(B4="40歳以上、65歳未満",1,0)</f>
        <v>0</v>
      </c>
      <c r="M4" s="4">
        <f t="shared" si="1"/>
        <v>0</v>
      </c>
      <c r="N4" s="6">
        <f t="shared" ref="N4:N10" si="12">IF(K4&lt;1300000,K4,0)*L4-600000</f>
        <v>-600000</v>
      </c>
      <c r="O4" s="6">
        <f t="shared" si="2"/>
        <v>-275000</v>
      </c>
      <c r="P4" s="6">
        <f t="shared" ref="P4:P10" si="13">IF(AND(K4&gt;4099999,K4&lt;7700000),K4,0)*L4*0.85-685000</f>
        <v>-685000</v>
      </c>
      <c r="Q4" s="6">
        <f t="shared" si="3"/>
        <v>-1100000</v>
      </c>
      <c r="R4" s="6">
        <f t="shared" si="4"/>
        <v>-275000</v>
      </c>
      <c r="S4" s="6">
        <f t="shared" si="5"/>
        <v>-685000</v>
      </c>
      <c r="T4" s="32">
        <f t="shared" ref="T4:T10" si="14">IF(MAX(N4:S4)&gt;0,MAX(N4:S4),0)</f>
        <v>0</v>
      </c>
    </row>
    <row r="5" spans="1:20" x14ac:dyDescent="0.4">
      <c r="A5" s="4" t="s">
        <v>10</v>
      </c>
      <c r="B5" s="20">
        <f>試算!B18</f>
        <v>0</v>
      </c>
      <c r="C5" s="21">
        <f>試算!D18</f>
        <v>0</v>
      </c>
      <c r="D5" s="6">
        <f t="shared" ref="D5:D10" si="15">IF(C5&lt;650999,C5,0)</f>
        <v>0</v>
      </c>
      <c r="E5" s="6">
        <f t="shared" si="6"/>
        <v>-650000</v>
      </c>
      <c r="F5" s="6">
        <f t="shared" si="7"/>
        <v>-80000</v>
      </c>
      <c r="G5" s="6">
        <f t="shared" si="8"/>
        <v>-440000</v>
      </c>
      <c r="H5" s="6">
        <f t="shared" si="0"/>
        <v>-1100000</v>
      </c>
      <c r="I5" s="6">
        <f t="shared" si="9"/>
        <v>0</v>
      </c>
      <c r="J5" s="32">
        <f t="shared" si="10"/>
        <v>0</v>
      </c>
      <c r="K5" s="21">
        <f>試算!E18</f>
        <v>0</v>
      </c>
      <c r="L5" s="4">
        <f t="shared" si="11"/>
        <v>0</v>
      </c>
      <c r="M5" s="4">
        <f t="shared" si="1"/>
        <v>0</v>
      </c>
      <c r="N5" s="6">
        <f t="shared" si="12"/>
        <v>-600000</v>
      </c>
      <c r="O5" s="6">
        <f t="shared" si="2"/>
        <v>-275000</v>
      </c>
      <c r="P5" s="6">
        <f t="shared" si="13"/>
        <v>-685000</v>
      </c>
      <c r="Q5" s="6">
        <f t="shared" si="3"/>
        <v>-1100000</v>
      </c>
      <c r="R5" s="6">
        <f t="shared" si="4"/>
        <v>-275000</v>
      </c>
      <c r="S5" s="6">
        <f t="shared" si="5"/>
        <v>-685000</v>
      </c>
      <c r="T5" s="32">
        <f t="shared" si="14"/>
        <v>0</v>
      </c>
    </row>
    <row r="6" spans="1:20" x14ac:dyDescent="0.4">
      <c r="A6" s="4" t="s">
        <v>11</v>
      </c>
      <c r="B6" s="20">
        <f>試算!B19</f>
        <v>0</v>
      </c>
      <c r="C6" s="21">
        <f>試算!D19</f>
        <v>0</v>
      </c>
      <c r="D6" s="6">
        <f t="shared" si="15"/>
        <v>0</v>
      </c>
      <c r="E6" s="6">
        <f t="shared" si="6"/>
        <v>-650000</v>
      </c>
      <c r="F6" s="6">
        <f t="shared" si="7"/>
        <v>-80000</v>
      </c>
      <c r="G6" s="6">
        <f t="shared" si="8"/>
        <v>-440000</v>
      </c>
      <c r="H6" s="6">
        <f t="shared" si="0"/>
        <v>-1100000</v>
      </c>
      <c r="I6" s="6">
        <f t="shared" si="9"/>
        <v>0</v>
      </c>
      <c r="J6" s="32">
        <f t="shared" si="10"/>
        <v>0</v>
      </c>
      <c r="K6" s="21">
        <f>試算!E19</f>
        <v>0</v>
      </c>
      <c r="L6" s="4">
        <f t="shared" si="11"/>
        <v>0</v>
      </c>
      <c r="M6" s="4">
        <f t="shared" si="1"/>
        <v>0</v>
      </c>
      <c r="N6" s="6">
        <f t="shared" si="12"/>
        <v>-600000</v>
      </c>
      <c r="O6" s="6">
        <f t="shared" si="2"/>
        <v>-275000</v>
      </c>
      <c r="P6" s="6">
        <f t="shared" si="13"/>
        <v>-685000</v>
      </c>
      <c r="Q6" s="6">
        <f t="shared" si="3"/>
        <v>-1100000</v>
      </c>
      <c r="R6" s="6">
        <f t="shared" si="4"/>
        <v>-275000</v>
      </c>
      <c r="S6" s="6">
        <f t="shared" si="5"/>
        <v>-685000</v>
      </c>
      <c r="T6" s="32">
        <f t="shared" si="14"/>
        <v>0</v>
      </c>
    </row>
    <row r="7" spans="1:20" x14ac:dyDescent="0.4">
      <c r="A7" s="4" t="s">
        <v>12</v>
      </c>
      <c r="B7" s="20">
        <f>試算!B20</f>
        <v>0</v>
      </c>
      <c r="C7" s="21">
        <f>試算!D20</f>
        <v>0</v>
      </c>
      <c r="D7" s="6">
        <f t="shared" si="15"/>
        <v>0</v>
      </c>
      <c r="E7" s="6">
        <f t="shared" si="6"/>
        <v>-650000</v>
      </c>
      <c r="F7" s="6">
        <f t="shared" si="7"/>
        <v>-80000</v>
      </c>
      <c r="G7" s="6">
        <f t="shared" si="8"/>
        <v>-440000</v>
      </c>
      <c r="H7" s="6">
        <f t="shared" si="0"/>
        <v>-1100000</v>
      </c>
      <c r="I7" s="6">
        <f t="shared" si="9"/>
        <v>0</v>
      </c>
      <c r="J7" s="32">
        <f t="shared" si="10"/>
        <v>0</v>
      </c>
      <c r="K7" s="21">
        <f>試算!E20</f>
        <v>0</v>
      </c>
      <c r="L7" s="4">
        <f t="shared" si="11"/>
        <v>0</v>
      </c>
      <c r="M7" s="4">
        <f t="shared" si="1"/>
        <v>0</v>
      </c>
      <c r="N7" s="6">
        <f t="shared" si="12"/>
        <v>-600000</v>
      </c>
      <c r="O7" s="6">
        <f t="shared" si="2"/>
        <v>-275000</v>
      </c>
      <c r="P7" s="6">
        <f t="shared" si="13"/>
        <v>-685000</v>
      </c>
      <c r="Q7" s="6">
        <f t="shared" si="3"/>
        <v>-1100000</v>
      </c>
      <c r="R7" s="6">
        <f t="shared" si="4"/>
        <v>-275000</v>
      </c>
      <c r="S7" s="6">
        <f t="shared" si="5"/>
        <v>-685000</v>
      </c>
      <c r="T7" s="32">
        <f t="shared" si="14"/>
        <v>0</v>
      </c>
    </row>
    <row r="8" spans="1:20" x14ac:dyDescent="0.4">
      <c r="A8" s="4" t="s">
        <v>13</v>
      </c>
      <c r="B8" s="20">
        <f>試算!B21</f>
        <v>0</v>
      </c>
      <c r="C8" s="21">
        <f>試算!D21</f>
        <v>0</v>
      </c>
      <c r="D8" s="6">
        <f t="shared" si="15"/>
        <v>0</v>
      </c>
      <c r="E8" s="6">
        <f t="shared" si="6"/>
        <v>-650000</v>
      </c>
      <c r="F8" s="6">
        <f t="shared" si="7"/>
        <v>-80000</v>
      </c>
      <c r="G8" s="6">
        <f t="shared" si="8"/>
        <v>-440000</v>
      </c>
      <c r="H8" s="6">
        <f t="shared" si="0"/>
        <v>-1100000</v>
      </c>
      <c r="I8" s="6">
        <f t="shared" si="9"/>
        <v>0</v>
      </c>
      <c r="J8" s="32">
        <f t="shared" si="10"/>
        <v>0</v>
      </c>
      <c r="K8" s="21">
        <f>試算!E21</f>
        <v>0</v>
      </c>
      <c r="L8" s="4">
        <f t="shared" si="11"/>
        <v>0</v>
      </c>
      <c r="M8" s="4">
        <f t="shared" si="1"/>
        <v>0</v>
      </c>
      <c r="N8" s="6">
        <f t="shared" si="12"/>
        <v>-600000</v>
      </c>
      <c r="O8" s="6">
        <f t="shared" si="2"/>
        <v>-275000</v>
      </c>
      <c r="P8" s="6">
        <f t="shared" si="13"/>
        <v>-685000</v>
      </c>
      <c r="Q8" s="6">
        <f t="shared" si="3"/>
        <v>-1100000</v>
      </c>
      <c r="R8" s="6">
        <f t="shared" si="4"/>
        <v>-275000</v>
      </c>
      <c r="S8" s="6">
        <f t="shared" si="5"/>
        <v>-685000</v>
      </c>
      <c r="T8" s="32">
        <f t="shared" si="14"/>
        <v>0</v>
      </c>
    </row>
    <row r="9" spans="1:20" x14ac:dyDescent="0.4">
      <c r="A9" s="4" t="s">
        <v>14</v>
      </c>
      <c r="B9" s="20">
        <f>試算!B22</f>
        <v>0</v>
      </c>
      <c r="C9" s="21">
        <f>試算!D22</f>
        <v>0</v>
      </c>
      <c r="D9" s="6">
        <f t="shared" si="15"/>
        <v>0</v>
      </c>
      <c r="E9" s="6">
        <f t="shared" si="6"/>
        <v>-650000</v>
      </c>
      <c r="F9" s="6">
        <f t="shared" si="7"/>
        <v>-80000</v>
      </c>
      <c r="G9" s="6">
        <f t="shared" si="8"/>
        <v>-440000</v>
      </c>
      <c r="H9" s="6">
        <f t="shared" si="0"/>
        <v>-1100000</v>
      </c>
      <c r="I9" s="6">
        <f t="shared" si="9"/>
        <v>0</v>
      </c>
      <c r="J9" s="32">
        <f t="shared" si="10"/>
        <v>0</v>
      </c>
      <c r="K9" s="21">
        <f>試算!E22</f>
        <v>0</v>
      </c>
      <c r="L9" s="4">
        <f t="shared" si="11"/>
        <v>0</v>
      </c>
      <c r="M9" s="4">
        <f t="shared" si="1"/>
        <v>0</v>
      </c>
      <c r="N9" s="6">
        <f t="shared" si="12"/>
        <v>-600000</v>
      </c>
      <c r="O9" s="6">
        <f t="shared" si="2"/>
        <v>-275000</v>
      </c>
      <c r="P9" s="6">
        <f t="shared" si="13"/>
        <v>-685000</v>
      </c>
      <c r="Q9" s="6">
        <f t="shared" si="3"/>
        <v>-1100000</v>
      </c>
      <c r="R9" s="6">
        <f t="shared" si="4"/>
        <v>-275000</v>
      </c>
      <c r="S9" s="6">
        <f t="shared" si="5"/>
        <v>-685000</v>
      </c>
      <c r="T9" s="32">
        <f t="shared" si="14"/>
        <v>0</v>
      </c>
    </row>
    <row r="10" spans="1:20" x14ac:dyDescent="0.4">
      <c r="A10" s="4" t="s">
        <v>15</v>
      </c>
      <c r="B10" s="20">
        <f>試算!B23</f>
        <v>0</v>
      </c>
      <c r="C10" s="21">
        <f>試算!D23</f>
        <v>0</v>
      </c>
      <c r="D10" s="6">
        <f t="shared" si="15"/>
        <v>0</v>
      </c>
      <c r="E10" s="6">
        <f t="shared" si="6"/>
        <v>-650000</v>
      </c>
      <c r="F10" s="6">
        <f t="shared" si="7"/>
        <v>-80000</v>
      </c>
      <c r="G10" s="6">
        <f t="shared" si="8"/>
        <v>-440000</v>
      </c>
      <c r="H10" s="6">
        <f t="shared" si="0"/>
        <v>-1100000</v>
      </c>
      <c r="I10" s="6">
        <f t="shared" si="9"/>
        <v>0</v>
      </c>
      <c r="J10" s="32">
        <f t="shared" si="10"/>
        <v>0</v>
      </c>
      <c r="K10" s="21">
        <f>試算!E23</f>
        <v>0</v>
      </c>
      <c r="L10" s="4">
        <f t="shared" si="11"/>
        <v>0</v>
      </c>
      <c r="M10" s="4">
        <f t="shared" si="1"/>
        <v>0</v>
      </c>
      <c r="N10" s="6">
        <f t="shared" si="12"/>
        <v>-600000</v>
      </c>
      <c r="O10" s="6">
        <f t="shared" si="2"/>
        <v>-275000</v>
      </c>
      <c r="P10" s="6">
        <f t="shared" si="13"/>
        <v>-685000</v>
      </c>
      <c r="Q10" s="6">
        <f t="shared" si="3"/>
        <v>-1100000</v>
      </c>
      <c r="R10" s="6">
        <f t="shared" si="4"/>
        <v>-275000</v>
      </c>
      <c r="S10" s="6">
        <f t="shared" si="5"/>
        <v>-685000</v>
      </c>
      <c r="T10" s="32">
        <f t="shared" si="14"/>
        <v>0</v>
      </c>
    </row>
    <row r="11" spans="1:20" x14ac:dyDescent="0.4">
      <c r="D11" s="30"/>
      <c r="E11" s="30"/>
      <c r="F11" s="30"/>
      <c r="G11" s="30"/>
      <c r="H11" s="30"/>
      <c r="I11" s="30"/>
      <c r="J11" s="30"/>
    </row>
    <row r="12" spans="1:20" x14ac:dyDescent="0.4">
      <c r="D12" s="30" t="s">
        <v>81</v>
      </c>
      <c r="E12" t="s">
        <v>85</v>
      </c>
      <c r="K12" s="30"/>
    </row>
    <row r="13" spans="1:20" x14ac:dyDescent="0.4">
      <c r="D13" s="30" t="s">
        <v>82</v>
      </c>
      <c r="E13" s="31" t="s">
        <v>83</v>
      </c>
      <c r="F13" s="31"/>
      <c r="G13" s="31"/>
      <c r="H13" s="31"/>
      <c r="I13" s="31"/>
      <c r="J13" s="31"/>
      <c r="L13" s="30"/>
    </row>
    <row r="14" spans="1:20" x14ac:dyDescent="0.4">
      <c r="D14" s="30" t="s">
        <v>84</v>
      </c>
      <c r="E14" s="31" t="s">
        <v>87</v>
      </c>
      <c r="F14" s="31"/>
      <c r="G14" s="31"/>
      <c r="H14" s="31"/>
      <c r="I14" s="31"/>
      <c r="J14" s="31"/>
      <c r="L14" s="30"/>
    </row>
    <row r="15" spans="1:20" x14ac:dyDescent="0.4">
      <c r="D15" s="30" t="s">
        <v>86</v>
      </c>
      <c r="E15" s="31" t="s">
        <v>88</v>
      </c>
      <c r="F15" s="31"/>
      <c r="G15" s="31"/>
      <c r="H15" s="31"/>
      <c r="I15" s="31"/>
      <c r="J15" s="31"/>
    </row>
    <row r="16" spans="1:20" x14ac:dyDescent="0.4">
      <c r="D16" s="30" t="s">
        <v>89</v>
      </c>
      <c r="E16" s="31" t="s">
        <v>90</v>
      </c>
      <c r="F16" s="31"/>
      <c r="G16" s="31"/>
      <c r="H16" s="31"/>
      <c r="I16" s="31"/>
      <c r="J16" s="31"/>
    </row>
    <row r="17" spans="4:10" x14ac:dyDescent="0.4">
      <c r="D17" s="30" t="s">
        <v>91</v>
      </c>
      <c r="E17" s="31" t="s">
        <v>92</v>
      </c>
      <c r="F17" s="31"/>
      <c r="G17" s="31"/>
      <c r="H17" s="31"/>
      <c r="I17" s="31"/>
      <c r="J17" s="31"/>
    </row>
    <row r="18" spans="4:10" x14ac:dyDescent="0.4">
      <c r="D18" t="s">
        <v>93</v>
      </c>
      <c r="E18" s="31" t="s">
        <v>94</v>
      </c>
      <c r="F18" s="31"/>
      <c r="G18" s="31"/>
      <c r="H18" s="31"/>
      <c r="I18" s="31"/>
      <c r="J18" s="31"/>
    </row>
  </sheetData>
  <mergeCells count="20">
    <mergeCell ref="S1:S2"/>
    <mergeCell ref="T1:T2"/>
    <mergeCell ref="O1:O2"/>
    <mergeCell ref="F1:F2"/>
    <mergeCell ref="G1:G2"/>
    <mergeCell ref="H1:H2"/>
    <mergeCell ref="I1:I2"/>
    <mergeCell ref="K1:K2"/>
    <mergeCell ref="N1:N2"/>
    <mergeCell ref="R1:R2"/>
    <mergeCell ref="J1:J2"/>
    <mergeCell ref="L1:L2"/>
    <mergeCell ref="P1:P2"/>
    <mergeCell ref="M1:M2"/>
    <mergeCell ref="Q1:Q2"/>
    <mergeCell ref="A1:A2"/>
    <mergeCell ref="B1:B2"/>
    <mergeCell ref="C1:C2"/>
    <mergeCell ref="D1:D2"/>
    <mergeCell ref="E1:E2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BEA37-FC2F-40B8-9CB8-87D7DE4CD128}">
  <sheetPr>
    <tabColor theme="1"/>
  </sheetPr>
  <dimension ref="A1:AH16"/>
  <sheetViews>
    <sheetView topLeftCell="T1" workbookViewId="0">
      <selection activeCell="AF10" sqref="AF10"/>
    </sheetView>
  </sheetViews>
  <sheetFormatPr defaultRowHeight="18.75" x14ac:dyDescent="0.4"/>
  <cols>
    <col min="2" max="2" width="23.625" bestFit="1" customWidth="1"/>
    <col min="3" max="3" width="11" bestFit="1" customWidth="1"/>
    <col min="4" max="5" width="12.125" bestFit="1" customWidth="1"/>
    <col min="6" max="6" width="9" bestFit="1" customWidth="1"/>
    <col min="7" max="8" width="12.125" bestFit="1" customWidth="1"/>
    <col min="9" max="11" width="13.75" customWidth="1"/>
    <col min="18" max="18" width="6" bestFit="1" customWidth="1"/>
    <col min="19" max="22" width="9" style="7"/>
    <col min="24" max="25" width="8.5" bestFit="1" customWidth="1"/>
    <col min="34" max="34" width="10" bestFit="1" customWidth="1"/>
  </cols>
  <sheetData>
    <row r="1" spans="1:34" s="1" customFormat="1" x14ac:dyDescent="0.4">
      <c r="A1" s="34"/>
      <c r="B1" s="36" t="s">
        <v>8</v>
      </c>
      <c r="C1" s="36" t="s">
        <v>43</v>
      </c>
      <c r="D1" s="36" t="s">
        <v>79</v>
      </c>
      <c r="E1" s="36" t="s">
        <v>78</v>
      </c>
      <c r="F1" s="39" t="s">
        <v>80</v>
      </c>
      <c r="G1" s="38" t="s">
        <v>27</v>
      </c>
      <c r="H1" s="38" t="s">
        <v>28</v>
      </c>
      <c r="I1" s="36" t="s">
        <v>29</v>
      </c>
      <c r="J1" s="34" t="s">
        <v>30</v>
      </c>
      <c r="K1" s="34" t="s">
        <v>44</v>
      </c>
      <c r="L1" s="34" t="s">
        <v>31</v>
      </c>
      <c r="M1" s="51" t="s">
        <v>50</v>
      </c>
      <c r="N1" s="48" t="s">
        <v>64</v>
      </c>
      <c r="O1" s="51" t="s">
        <v>49</v>
      </c>
      <c r="P1" s="51" t="s">
        <v>51</v>
      </c>
      <c r="Q1" s="51" t="s">
        <v>49</v>
      </c>
      <c r="R1" s="51" t="s">
        <v>0</v>
      </c>
      <c r="S1" s="40" t="s">
        <v>45</v>
      </c>
      <c r="T1" s="41"/>
      <c r="U1" s="41"/>
      <c r="V1" s="42"/>
      <c r="W1" s="43" t="s">
        <v>48</v>
      </c>
      <c r="X1" s="44"/>
      <c r="Y1" s="45"/>
      <c r="Z1" s="43" t="s">
        <v>53</v>
      </c>
      <c r="AA1" s="44"/>
      <c r="AB1" s="44"/>
      <c r="AC1" s="45"/>
      <c r="AD1" s="46" t="s">
        <v>55</v>
      </c>
      <c r="AE1" s="46"/>
      <c r="AF1" s="46"/>
      <c r="AG1" s="46"/>
      <c r="AH1" s="47" t="s">
        <v>5</v>
      </c>
    </row>
    <row r="2" spans="1:34" s="1" customFormat="1" x14ac:dyDescent="0.4">
      <c r="A2" s="35"/>
      <c r="B2" s="37"/>
      <c r="C2" s="37"/>
      <c r="D2" s="37"/>
      <c r="E2" s="37"/>
      <c r="F2" s="50"/>
      <c r="G2" s="38"/>
      <c r="H2" s="38"/>
      <c r="I2" s="37"/>
      <c r="J2" s="35"/>
      <c r="K2" s="35"/>
      <c r="L2" s="35"/>
      <c r="M2" s="52"/>
      <c r="N2" s="49"/>
      <c r="O2" s="52"/>
      <c r="P2" s="52"/>
      <c r="Q2" s="52"/>
      <c r="R2" s="52"/>
      <c r="S2" s="10" t="s">
        <v>46</v>
      </c>
      <c r="T2" s="10" t="s">
        <v>47</v>
      </c>
      <c r="U2" s="8" t="s">
        <v>52</v>
      </c>
      <c r="V2" s="16" t="s">
        <v>56</v>
      </c>
      <c r="W2" s="10" t="s">
        <v>46</v>
      </c>
      <c r="X2" s="10" t="s">
        <v>47</v>
      </c>
      <c r="Y2" s="16" t="s">
        <v>56</v>
      </c>
      <c r="Z2" s="3" t="s">
        <v>54</v>
      </c>
      <c r="AA2" s="3" t="s">
        <v>46</v>
      </c>
      <c r="AB2" s="3" t="s">
        <v>47</v>
      </c>
      <c r="AC2" s="18" t="s">
        <v>56</v>
      </c>
      <c r="AD2" s="3" t="s">
        <v>54</v>
      </c>
      <c r="AE2" s="3" t="s">
        <v>46</v>
      </c>
      <c r="AF2" s="3" t="s">
        <v>47</v>
      </c>
      <c r="AG2" s="18" t="s">
        <v>56</v>
      </c>
      <c r="AH2" s="47"/>
    </row>
    <row r="3" spans="1:34" x14ac:dyDescent="0.4">
      <c r="A3" s="4" t="s">
        <v>6</v>
      </c>
      <c r="B3" s="20">
        <f>試算!B16</f>
        <v>0</v>
      </c>
      <c r="C3" s="20">
        <f>試算!C16</f>
        <v>0</v>
      </c>
      <c r="D3" s="21">
        <f>試算!D16</f>
        <v>0</v>
      </c>
      <c r="E3" s="21">
        <f>試算!E16</f>
        <v>0</v>
      </c>
      <c r="F3" s="4">
        <f>IF((G3+H3)&gt;0,"有",0)</f>
        <v>0</v>
      </c>
      <c r="G3" s="32">
        <f>所得計算!J3</f>
        <v>0</v>
      </c>
      <c r="H3" s="32">
        <f>所得計算!T3</f>
        <v>0</v>
      </c>
      <c r="I3" s="21">
        <f>試算!F16</f>
        <v>0</v>
      </c>
      <c r="J3" s="6">
        <f>SUM(G3:I3)</f>
        <v>0</v>
      </c>
      <c r="K3" s="6">
        <f>MAX(J3-430000,0)</f>
        <v>0</v>
      </c>
      <c r="L3" s="11" t="e" cm="1">
        <f t="array" ref="L3">_xlfn.SWITCH(C3,"非加入",0,"4月",12,"5月",11,"6月",10,"7月",9,"8月",8,"9月",7,"10月",6,"11月",5,"12月",4,"1月",3,"2月",2,"3月",1,"",0)</f>
        <v>#N/A</v>
      </c>
      <c r="M3" s="12">
        <f>COUNTA(B3:B10)-COUNTIF(B3:B10,0)</f>
        <v>0</v>
      </c>
      <c r="N3" s="12">
        <f>COUNTA(F3:F10)-COUNTIF(F3:F10,0)</f>
        <v>0</v>
      </c>
      <c r="O3" s="9" t="str">
        <f>IF(SUM(J3:J10)&lt;O12+O13*(N3-1),Q6,IF(SUM(J3:J10)&lt;=(O12+O14*M3+O13*(N3-1)),Q5,IF(SUM(J3:J10)&lt;=(O12+O15*M3+O13*(N3-1)),Q4,Q3)))</f>
        <v>7割軽減</v>
      </c>
      <c r="P3" s="9">
        <f>VLOOKUP(O3,Q3:R6,2,FALSE)</f>
        <v>0.3</v>
      </c>
      <c r="Q3" s="9" t="s">
        <v>2</v>
      </c>
      <c r="R3" s="13">
        <v>1</v>
      </c>
      <c r="S3" s="14" t="e">
        <f t="shared" ref="S3:S10" si="0">ROUNDDOWN(K3*S$13/12*L3,0)</f>
        <v>#N/A</v>
      </c>
      <c r="T3" s="14" t="e" cm="1">
        <f t="array" ref="T3">T$13*P$3*_xlfn.SWITCH(B3,"6歳未満（未就学児）",T$15,1)/12*L3</f>
        <v>#N/A</v>
      </c>
      <c r="U3" s="15" t="e">
        <f>U13*P3/12*MAX(L3:L10)</f>
        <v>#N/A</v>
      </c>
      <c r="V3" s="17" t="e">
        <f>IF(ROUNDDOWN(SUM(S3:U10),-2)&lt;V13,ROUNDDOWN(SUM(S3:U10),-2),V13)</f>
        <v>#N/A</v>
      </c>
      <c r="W3" s="14" t="e">
        <f t="shared" ref="W3:W10" si="1">ROUNDDOWN(K3*W$13/12*L3,0)</f>
        <v>#N/A</v>
      </c>
      <c r="X3" s="14" t="e" cm="1">
        <f t="array" ref="X3">X$13*P$3*_xlfn.SWITCH(B3,"6歳未満（未就学児）",X$15,1)/12*L3</f>
        <v>#N/A</v>
      </c>
      <c r="Y3" s="17" t="e">
        <f>IF(ROUNDDOWN(SUM(W3:X10),-2)&lt;Y13,ROUNDDOWN(SUM(W3:X10),-2),Y13)</f>
        <v>#N/A</v>
      </c>
      <c r="Z3" s="4" cm="1">
        <f t="array" ref="Z3">_xlfn.SWITCH(B3,"40歳以上、65歳未満",L3,0)</f>
        <v>0</v>
      </c>
      <c r="AA3" s="14">
        <f t="shared" ref="AA3:AA10" si="2">ROUNDDOWN(K3*AA$13/12*Z3,0)</f>
        <v>0</v>
      </c>
      <c r="AB3" s="14">
        <f>AB$13*P$3/12*Z3</f>
        <v>0</v>
      </c>
      <c r="AC3" s="17">
        <f>IF(ROUNDDOWN(SUM(AA3:AB10),-2)&lt;AC13,ROUNDDOWN(SUM(AA3:AB10),-2),AC13)</f>
        <v>0</v>
      </c>
      <c r="AD3" s="4" cm="1">
        <f t="array" ref="AD3">_xlfn.SWITCH(B3,"65歳以上、75歳未満",L3,"40歳以上、65歳未満",L3,"18歳以上、40歳未満",L3,0)</f>
        <v>0</v>
      </c>
      <c r="AE3" s="14">
        <f t="shared" ref="AE3:AE10" si="3">ROUNDDOWN(K3*AE$13/12*AD3,0)</f>
        <v>0</v>
      </c>
      <c r="AF3" s="14">
        <f>(AF$13*P$3)/12*AD3</f>
        <v>0</v>
      </c>
      <c r="AG3" s="17">
        <f>IF(ROUNDDOWN(SUM(AE3:AF10),-2)&lt;AG13,ROUNDDOWN(SUM(AE3:AF10),-2),AG13)</f>
        <v>0</v>
      </c>
      <c r="AH3" s="17" t="e">
        <f>V3+Y3+AC3+AG3</f>
        <v>#N/A</v>
      </c>
    </row>
    <row r="4" spans="1:34" x14ac:dyDescent="0.4">
      <c r="A4" s="4" t="s">
        <v>9</v>
      </c>
      <c r="B4" s="20">
        <f>試算!B17</f>
        <v>0</v>
      </c>
      <c r="C4" s="20">
        <f>試算!C17</f>
        <v>0</v>
      </c>
      <c r="D4" s="21">
        <f>試算!D17</f>
        <v>0</v>
      </c>
      <c r="E4" s="21">
        <f>試算!E17</f>
        <v>0</v>
      </c>
      <c r="F4" s="4">
        <f t="shared" ref="F4:F10" si="4">IF((G4+H4)&gt;0,"有",0)</f>
        <v>0</v>
      </c>
      <c r="G4" s="32">
        <f>所得計算!J4</f>
        <v>0</v>
      </c>
      <c r="H4" s="32">
        <f>所得計算!T4</f>
        <v>0</v>
      </c>
      <c r="I4" s="21">
        <f>試算!F17</f>
        <v>0</v>
      </c>
      <c r="J4" s="6">
        <f t="shared" ref="J4:J10" si="5">SUM(G4:I4)</f>
        <v>0</v>
      </c>
      <c r="K4" s="6">
        <f t="shared" ref="K4:K10" si="6">MAX(J4-430000,0)</f>
        <v>0</v>
      </c>
      <c r="L4" s="11" cm="1">
        <f t="array" ref="L4">_xlfn.SWITCH(C4,"4月",12,"5月",11,"6月",10,"7月",9,"8月",8,"9月",7,"10月",6,"11月",5,"12月",4,"1月",3,"2月",2,"3月",1,0)</f>
        <v>0</v>
      </c>
      <c r="M4" s="12"/>
      <c r="N4" s="12"/>
      <c r="O4" s="12"/>
      <c r="P4" s="9"/>
      <c r="Q4" s="9" t="s">
        <v>3</v>
      </c>
      <c r="R4" s="13">
        <v>0.8</v>
      </c>
      <c r="S4" s="14">
        <f t="shared" si="0"/>
        <v>0</v>
      </c>
      <c r="T4" s="14" cm="1">
        <f t="array" ref="T4">T$13*P$3*_xlfn.SWITCH(B4,"6歳未満（未就学児）",T$15,1)/12*L4</f>
        <v>0</v>
      </c>
      <c r="U4" s="15"/>
      <c r="V4" s="17"/>
      <c r="W4" s="14">
        <f t="shared" si="1"/>
        <v>0</v>
      </c>
      <c r="X4" s="14" cm="1">
        <f t="array" ref="X4">X$13*P$3*_xlfn.SWITCH(B4,"6歳未満（未就学児）",X$15,1)/12*L4</f>
        <v>0</v>
      </c>
      <c r="Y4" s="17"/>
      <c r="Z4" s="4" cm="1">
        <f t="array" ref="Z4">_xlfn.SWITCH(B4,"40歳以上、65歳未満",L4,0)</f>
        <v>0</v>
      </c>
      <c r="AA4" s="14">
        <f t="shared" si="2"/>
        <v>0</v>
      </c>
      <c r="AB4" s="14">
        <f t="shared" ref="AB4:AB10" si="7">AB$13*P$3/12*Z4</f>
        <v>0</v>
      </c>
      <c r="AC4" s="17"/>
      <c r="AD4" s="4" cm="1">
        <f t="array" ref="AD4">_xlfn.SWITCH(B4,"65歳以上、75歳未満",L4,"40歳以上、65歳未満",L4,"18歳以上、40歳未満",L4,0)</f>
        <v>0</v>
      </c>
      <c r="AE4" s="14">
        <f t="shared" si="3"/>
        <v>0</v>
      </c>
      <c r="AF4" s="14">
        <f t="shared" ref="AF4:AF10" si="8">(AF$13*P$3)/12*AD4</f>
        <v>0</v>
      </c>
      <c r="AG4" s="19"/>
      <c r="AH4" s="19"/>
    </row>
    <row r="5" spans="1:34" x14ac:dyDescent="0.4">
      <c r="A5" s="4" t="s">
        <v>10</v>
      </c>
      <c r="B5" s="20">
        <f>試算!B18</f>
        <v>0</v>
      </c>
      <c r="C5" s="20">
        <f>試算!C18</f>
        <v>0</v>
      </c>
      <c r="D5" s="21">
        <f>試算!D18</f>
        <v>0</v>
      </c>
      <c r="E5" s="21">
        <f>試算!E18</f>
        <v>0</v>
      </c>
      <c r="F5" s="4">
        <f t="shared" si="4"/>
        <v>0</v>
      </c>
      <c r="G5" s="32">
        <f>所得計算!J5</f>
        <v>0</v>
      </c>
      <c r="H5" s="32">
        <f>所得計算!T5</f>
        <v>0</v>
      </c>
      <c r="I5" s="21">
        <f>試算!F18</f>
        <v>0</v>
      </c>
      <c r="J5" s="6">
        <f t="shared" si="5"/>
        <v>0</v>
      </c>
      <c r="K5" s="6">
        <f t="shared" si="6"/>
        <v>0</v>
      </c>
      <c r="L5" s="11" cm="1">
        <f t="array" ref="L5">_xlfn.SWITCH(C5,"4月",12,"5月",11,"6月",10,"7月",9,"8月",8,"9月",7,"10月",6,"11月",5,"12月",4,"1月",3,"2月",2,"3月",1,0)</f>
        <v>0</v>
      </c>
      <c r="M5" s="12"/>
      <c r="N5" s="12"/>
      <c r="O5" s="9"/>
      <c r="P5" s="9"/>
      <c r="Q5" s="9" t="s">
        <v>4</v>
      </c>
      <c r="R5" s="13">
        <v>0.5</v>
      </c>
      <c r="S5" s="14">
        <f t="shared" si="0"/>
        <v>0</v>
      </c>
      <c r="T5" s="14" cm="1">
        <f t="array" ref="T5">T$13*P$3*_xlfn.SWITCH(B5,"6歳未満（未就学児）",T$15,1)/12*L5</f>
        <v>0</v>
      </c>
      <c r="U5" s="15"/>
      <c r="V5" s="17"/>
      <c r="W5" s="14">
        <f t="shared" si="1"/>
        <v>0</v>
      </c>
      <c r="X5" s="14" cm="1">
        <f t="array" ref="X5">X$13*P$3*_xlfn.SWITCH(B5,"6歳未満（未就学児）",X$15,1)/12*L5</f>
        <v>0</v>
      </c>
      <c r="Y5" s="17"/>
      <c r="Z5" s="4" cm="1">
        <f t="array" ref="Z5">_xlfn.SWITCH(B5,"40歳以上、65歳未満",L5,0)</f>
        <v>0</v>
      </c>
      <c r="AA5" s="14">
        <f t="shared" si="2"/>
        <v>0</v>
      </c>
      <c r="AB5" s="14">
        <f t="shared" si="7"/>
        <v>0</v>
      </c>
      <c r="AC5" s="17"/>
      <c r="AD5" s="4" cm="1">
        <f t="array" ref="AD5">_xlfn.SWITCH(B5,"65歳以上、75歳未満",L5,"40歳以上、65歳未満",L5,"18歳以上、40歳未満",L5,0)</f>
        <v>0</v>
      </c>
      <c r="AE5" s="14">
        <f t="shared" si="3"/>
        <v>0</v>
      </c>
      <c r="AF5" s="14">
        <f t="shared" si="8"/>
        <v>0</v>
      </c>
      <c r="AG5" s="19"/>
      <c r="AH5" s="19"/>
    </row>
    <row r="6" spans="1:34" x14ac:dyDescent="0.4">
      <c r="A6" s="4" t="s">
        <v>11</v>
      </c>
      <c r="B6" s="20">
        <f>試算!B19</f>
        <v>0</v>
      </c>
      <c r="C6" s="20">
        <f>試算!C19</f>
        <v>0</v>
      </c>
      <c r="D6" s="21">
        <f>試算!D19</f>
        <v>0</v>
      </c>
      <c r="E6" s="21">
        <f>試算!E19</f>
        <v>0</v>
      </c>
      <c r="F6" s="4">
        <f t="shared" si="4"/>
        <v>0</v>
      </c>
      <c r="G6" s="32">
        <f>所得計算!J6</f>
        <v>0</v>
      </c>
      <c r="H6" s="32">
        <f>所得計算!T6</f>
        <v>0</v>
      </c>
      <c r="I6" s="21">
        <f>試算!F19</f>
        <v>0</v>
      </c>
      <c r="J6" s="6">
        <f t="shared" si="5"/>
        <v>0</v>
      </c>
      <c r="K6" s="6">
        <f t="shared" si="6"/>
        <v>0</v>
      </c>
      <c r="L6" s="11" cm="1">
        <f t="array" ref="L6">_xlfn.SWITCH(C6,"4月",12,"5月",11,"6月",10,"7月",9,"8月",8,"9月",7,"10月",6,"11月",5,"12月",4,"1月",3,"2月",2,"3月",1,0)</f>
        <v>0</v>
      </c>
      <c r="M6" s="12"/>
      <c r="N6" s="12"/>
      <c r="O6" s="9"/>
      <c r="P6" s="9"/>
      <c r="Q6" s="9" t="s">
        <v>1</v>
      </c>
      <c r="R6" s="13">
        <v>0.3</v>
      </c>
      <c r="S6" s="14">
        <f t="shared" si="0"/>
        <v>0</v>
      </c>
      <c r="T6" s="14" cm="1">
        <f t="array" ref="T6">T$13*P$3*_xlfn.SWITCH(B6,"6歳未満（未就学児）",T$15,1)/12*L6</f>
        <v>0</v>
      </c>
      <c r="U6" s="15"/>
      <c r="V6" s="17"/>
      <c r="W6" s="14">
        <f t="shared" si="1"/>
        <v>0</v>
      </c>
      <c r="X6" s="14" cm="1">
        <f t="array" ref="X6">X$13*P$3*_xlfn.SWITCH(B6,"6歳未満（未就学児）",X$15,1)/12*L6</f>
        <v>0</v>
      </c>
      <c r="Y6" s="17"/>
      <c r="Z6" s="4" cm="1">
        <f t="array" ref="Z6">_xlfn.SWITCH(B6,"40歳以上、65歳未満",L6,0)</f>
        <v>0</v>
      </c>
      <c r="AA6" s="14">
        <f t="shared" si="2"/>
        <v>0</v>
      </c>
      <c r="AB6" s="14">
        <f t="shared" si="7"/>
        <v>0</v>
      </c>
      <c r="AC6" s="17"/>
      <c r="AD6" s="4" cm="1">
        <f t="array" ref="AD6">_xlfn.SWITCH(B6,"65歳以上、75歳未満",L6,"40歳以上、65歳未満",L6,"18歳以上、40歳未満",L6,0)</f>
        <v>0</v>
      </c>
      <c r="AE6" s="14">
        <f t="shared" si="3"/>
        <v>0</v>
      </c>
      <c r="AF6" s="14">
        <f t="shared" si="8"/>
        <v>0</v>
      </c>
      <c r="AG6" s="19"/>
      <c r="AH6" s="19"/>
    </row>
    <row r="7" spans="1:34" x14ac:dyDescent="0.4">
      <c r="A7" s="4" t="s">
        <v>12</v>
      </c>
      <c r="B7" s="20">
        <f>試算!B20</f>
        <v>0</v>
      </c>
      <c r="C7" s="20">
        <f>試算!C20</f>
        <v>0</v>
      </c>
      <c r="D7" s="21">
        <f>試算!D20</f>
        <v>0</v>
      </c>
      <c r="E7" s="21">
        <f>試算!E20</f>
        <v>0</v>
      </c>
      <c r="F7" s="4">
        <f t="shared" si="4"/>
        <v>0</v>
      </c>
      <c r="G7" s="32">
        <f>所得計算!J7</f>
        <v>0</v>
      </c>
      <c r="H7" s="32">
        <f>所得計算!T7</f>
        <v>0</v>
      </c>
      <c r="I7" s="21">
        <f>試算!F20</f>
        <v>0</v>
      </c>
      <c r="J7" s="6">
        <f t="shared" si="5"/>
        <v>0</v>
      </c>
      <c r="K7" s="6">
        <f t="shared" si="6"/>
        <v>0</v>
      </c>
      <c r="L7" s="11" cm="1">
        <f t="array" ref="L7">_xlfn.SWITCH(C7,"4月",12,"5月",11,"6月",10,"7月",9,"8月",8,"9月",7,"10月",6,"11月",5,"12月",4,"1月",3,"2月",2,"3月",1,0)</f>
        <v>0</v>
      </c>
      <c r="M7" s="11"/>
      <c r="N7" s="11"/>
      <c r="O7" s="4"/>
      <c r="P7" s="4"/>
      <c r="Q7" s="4"/>
      <c r="R7" s="4"/>
      <c r="S7" s="14">
        <f t="shared" si="0"/>
        <v>0</v>
      </c>
      <c r="T7" s="14" cm="1">
        <f t="array" ref="T7">T$13*P$3*_xlfn.SWITCH(B7,"6歳未満（未就学児）",T$15,1)/12*L7</f>
        <v>0</v>
      </c>
      <c r="U7" s="15"/>
      <c r="V7" s="17"/>
      <c r="W7" s="14">
        <f t="shared" si="1"/>
        <v>0</v>
      </c>
      <c r="X7" s="14" cm="1">
        <f t="array" ref="X7">X$13*P$3*_xlfn.SWITCH(B7,"6歳未満（未就学児）",X$15,1)/12*L7</f>
        <v>0</v>
      </c>
      <c r="Y7" s="17"/>
      <c r="Z7" s="4" cm="1">
        <f t="array" ref="Z7">_xlfn.SWITCH(B7,"40歳以上、65歳未満",L7,0)</f>
        <v>0</v>
      </c>
      <c r="AA7" s="14">
        <f t="shared" si="2"/>
        <v>0</v>
      </c>
      <c r="AB7" s="14">
        <f t="shared" si="7"/>
        <v>0</v>
      </c>
      <c r="AC7" s="17"/>
      <c r="AD7" s="4" cm="1">
        <f t="array" ref="AD7">_xlfn.SWITCH(B7,"65歳以上、75歳未満",L7,"40歳以上、65歳未満",L7,"18歳以上、40歳未満",L7,0)</f>
        <v>0</v>
      </c>
      <c r="AE7" s="14">
        <f t="shared" si="3"/>
        <v>0</v>
      </c>
      <c r="AF7" s="14">
        <f t="shared" si="8"/>
        <v>0</v>
      </c>
      <c r="AG7" s="19"/>
      <c r="AH7" s="19"/>
    </row>
    <row r="8" spans="1:34" x14ac:dyDescent="0.4">
      <c r="A8" s="4" t="s">
        <v>13</v>
      </c>
      <c r="B8" s="20">
        <f>試算!B21</f>
        <v>0</v>
      </c>
      <c r="C8" s="20">
        <f>試算!C21</f>
        <v>0</v>
      </c>
      <c r="D8" s="21">
        <f>試算!D21</f>
        <v>0</v>
      </c>
      <c r="E8" s="21">
        <f>試算!E21</f>
        <v>0</v>
      </c>
      <c r="F8" s="4">
        <f t="shared" si="4"/>
        <v>0</v>
      </c>
      <c r="G8" s="32">
        <f>所得計算!J8</f>
        <v>0</v>
      </c>
      <c r="H8" s="32">
        <f>所得計算!T8</f>
        <v>0</v>
      </c>
      <c r="I8" s="21">
        <f>試算!F21</f>
        <v>0</v>
      </c>
      <c r="J8" s="6">
        <f t="shared" si="5"/>
        <v>0</v>
      </c>
      <c r="K8" s="6">
        <f t="shared" si="6"/>
        <v>0</v>
      </c>
      <c r="L8" s="11" cm="1">
        <f t="array" ref="L8">_xlfn.SWITCH(C8,"4月",12,"5月",11,"6月",10,"7月",9,"8月",8,"9月",7,"10月",6,"11月",5,"12月",4,"1月",3,"2月",2,"3月",1,0)</f>
        <v>0</v>
      </c>
      <c r="M8" s="11"/>
      <c r="N8" s="11"/>
      <c r="O8" s="4"/>
      <c r="P8" s="4"/>
      <c r="Q8" s="4"/>
      <c r="R8" s="4"/>
      <c r="S8" s="14">
        <f t="shared" si="0"/>
        <v>0</v>
      </c>
      <c r="T8" s="14" cm="1">
        <f t="array" ref="T8">T$13*P$3*_xlfn.SWITCH(B8,"6歳未満（未就学児）",T$15,1)/12*L8</f>
        <v>0</v>
      </c>
      <c r="U8" s="15"/>
      <c r="V8" s="17"/>
      <c r="W8" s="14">
        <f t="shared" si="1"/>
        <v>0</v>
      </c>
      <c r="X8" s="14" cm="1">
        <f t="array" ref="X8">X$13*P$3*_xlfn.SWITCH(B8,"6歳未満（未就学児）",X$15,1)/12*L8</f>
        <v>0</v>
      </c>
      <c r="Y8" s="17"/>
      <c r="Z8" s="4" cm="1">
        <f t="array" ref="Z8">_xlfn.SWITCH(B8,"40歳以上、65歳未満",L8,0)</f>
        <v>0</v>
      </c>
      <c r="AA8" s="14">
        <f t="shared" si="2"/>
        <v>0</v>
      </c>
      <c r="AB8" s="14">
        <f t="shared" si="7"/>
        <v>0</v>
      </c>
      <c r="AC8" s="17"/>
      <c r="AD8" s="4" cm="1">
        <f t="array" ref="AD8">_xlfn.SWITCH(B8,"65歳以上、75歳未満",L8,"40歳以上、65歳未満",L8,"18歳以上、40歳未満",L8,0)</f>
        <v>0</v>
      </c>
      <c r="AE8" s="14">
        <f t="shared" si="3"/>
        <v>0</v>
      </c>
      <c r="AF8" s="14">
        <f t="shared" si="8"/>
        <v>0</v>
      </c>
      <c r="AG8" s="19"/>
      <c r="AH8" s="19"/>
    </row>
    <row r="9" spans="1:34" x14ac:dyDescent="0.4">
      <c r="A9" s="4" t="s">
        <v>14</v>
      </c>
      <c r="B9" s="20">
        <f>試算!B22</f>
        <v>0</v>
      </c>
      <c r="C9" s="20">
        <f>試算!C22</f>
        <v>0</v>
      </c>
      <c r="D9" s="21">
        <f>試算!D22</f>
        <v>0</v>
      </c>
      <c r="E9" s="21">
        <f>試算!E22</f>
        <v>0</v>
      </c>
      <c r="F9" s="4">
        <f t="shared" si="4"/>
        <v>0</v>
      </c>
      <c r="G9" s="32">
        <f>所得計算!J9</f>
        <v>0</v>
      </c>
      <c r="H9" s="32">
        <f>所得計算!T9</f>
        <v>0</v>
      </c>
      <c r="I9" s="21">
        <f>試算!F22</f>
        <v>0</v>
      </c>
      <c r="J9" s="6">
        <f t="shared" si="5"/>
        <v>0</v>
      </c>
      <c r="K9" s="6">
        <f t="shared" si="6"/>
        <v>0</v>
      </c>
      <c r="L9" s="11" cm="1">
        <f t="array" ref="L9">_xlfn.SWITCH(C9,"4月",12,"5月",11,"6月",10,"7月",9,"8月",8,"9月",7,"10月",6,"11月",5,"12月",4,"1月",3,"2月",2,"3月",1,0)</f>
        <v>0</v>
      </c>
      <c r="M9" s="11"/>
      <c r="N9" s="11"/>
      <c r="O9" s="4"/>
      <c r="P9" s="4"/>
      <c r="Q9" s="4"/>
      <c r="R9" s="4"/>
      <c r="S9" s="14">
        <f t="shared" si="0"/>
        <v>0</v>
      </c>
      <c r="T9" s="14" cm="1">
        <f t="array" ref="T9">T$13*P$3*_xlfn.SWITCH(B9,"6歳未満（未就学児）",T$15,1)/12*L9</f>
        <v>0</v>
      </c>
      <c r="U9" s="15"/>
      <c r="V9" s="17"/>
      <c r="W9" s="14">
        <f t="shared" si="1"/>
        <v>0</v>
      </c>
      <c r="X9" s="14" cm="1">
        <f t="array" ref="X9">X$13*P$3*_xlfn.SWITCH(B9,"6歳未満（未就学児）",X$15,1)/12*L9</f>
        <v>0</v>
      </c>
      <c r="Y9" s="17"/>
      <c r="Z9" s="4" cm="1">
        <f t="array" ref="Z9">_xlfn.SWITCH(B9,"40歳以上、65歳未満",L9,0)</f>
        <v>0</v>
      </c>
      <c r="AA9" s="14">
        <f t="shared" si="2"/>
        <v>0</v>
      </c>
      <c r="AB9" s="14">
        <f t="shared" si="7"/>
        <v>0</v>
      </c>
      <c r="AC9" s="17"/>
      <c r="AD9" s="4" cm="1">
        <f t="array" ref="AD9">_xlfn.SWITCH(B9,"65歳以上、75歳未満",L9,"40歳以上、65歳未満",L9,"18歳以上、40歳未満",L9,0)</f>
        <v>0</v>
      </c>
      <c r="AE9" s="14">
        <f t="shared" si="3"/>
        <v>0</v>
      </c>
      <c r="AF9" s="14">
        <f t="shared" si="8"/>
        <v>0</v>
      </c>
      <c r="AG9" s="19"/>
      <c r="AH9" s="19"/>
    </row>
    <row r="10" spans="1:34" x14ac:dyDescent="0.4">
      <c r="A10" s="4" t="s">
        <v>15</v>
      </c>
      <c r="B10" s="20">
        <f>試算!B23</f>
        <v>0</v>
      </c>
      <c r="C10" s="20">
        <f>試算!C23</f>
        <v>0</v>
      </c>
      <c r="D10" s="21">
        <f>試算!D23</f>
        <v>0</v>
      </c>
      <c r="E10" s="21">
        <f>試算!E23</f>
        <v>0</v>
      </c>
      <c r="F10" s="4">
        <f t="shared" si="4"/>
        <v>0</v>
      </c>
      <c r="G10" s="32">
        <f>所得計算!J10</f>
        <v>0</v>
      </c>
      <c r="H10" s="32">
        <f>所得計算!T10</f>
        <v>0</v>
      </c>
      <c r="I10" s="21">
        <f>試算!F23</f>
        <v>0</v>
      </c>
      <c r="J10" s="6">
        <f t="shared" si="5"/>
        <v>0</v>
      </c>
      <c r="K10" s="6">
        <f t="shared" si="6"/>
        <v>0</v>
      </c>
      <c r="L10" s="11" cm="1">
        <f t="array" ref="L10">_xlfn.SWITCH(C10,"4月",12,"5月",11,"6月",10,"7月",9,"8月",8,"9月",7,"10月",6,"11月",5,"12月",4,"1月",3,"2月",2,"3月",1,0)</f>
        <v>0</v>
      </c>
      <c r="M10" s="11"/>
      <c r="N10" s="11"/>
      <c r="O10" s="4"/>
      <c r="P10" s="4"/>
      <c r="Q10" s="4"/>
      <c r="R10" s="4"/>
      <c r="S10" s="14">
        <f t="shared" si="0"/>
        <v>0</v>
      </c>
      <c r="T10" s="14" cm="1">
        <f t="array" ref="T10">T$13*P$3*_xlfn.SWITCH(B10,"6歳未満（未就学児）",T$15,1)/12*L10</f>
        <v>0</v>
      </c>
      <c r="U10" s="15"/>
      <c r="V10" s="17"/>
      <c r="W10" s="14">
        <f t="shared" si="1"/>
        <v>0</v>
      </c>
      <c r="X10" s="14" cm="1">
        <f t="array" ref="X10">X$13*P$3*_xlfn.SWITCH(B10,"6歳未満（未就学児）",X$15,1)/12*L10</f>
        <v>0</v>
      </c>
      <c r="Y10" s="17"/>
      <c r="Z10" s="4" cm="1">
        <f t="array" ref="Z10">_xlfn.SWITCH(B10,"40歳以上、65歳未満",L10,0)</f>
        <v>0</v>
      </c>
      <c r="AA10" s="14">
        <f t="shared" si="2"/>
        <v>0</v>
      </c>
      <c r="AB10" s="14">
        <f t="shared" si="7"/>
        <v>0</v>
      </c>
      <c r="AC10" s="17"/>
      <c r="AD10" s="4" cm="1">
        <f t="array" ref="AD10">_xlfn.SWITCH(B10,"65歳以上、75歳未満",L10,"40歳以上、65歳未満",L10,"18歳以上、40歳未満",L10,0)</f>
        <v>0</v>
      </c>
      <c r="AE10" s="14">
        <f t="shared" si="3"/>
        <v>0</v>
      </c>
      <c r="AF10" s="14">
        <f t="shared" si="8"/>
        <v>0</v>
      </c>
      <c r="AG10" s="19"/>
      <c r="AH10" s="19"/>
    </row>
    <row r="12" spans="1:34" x14ac:dyDescent="0.4">
      <c r="E12" s="30"/>
      <c r="N12" s="24" t="s">
        <v>61</v>
      </c>
      <c r="O12" s="22">
        <v>430000</v>
      </c>
      <c r="Q12" s="1"/>
      <c r="R12" s="1"/>
      <c r="S12" s="22" t="s">
        <v>59</v>
      </c>
      <c r="T12" s="22" t="s">
        <v>60</v>
      </c>
      <c r="U12" s="22" t="s">
        <v>76</v>
      </c>
      <c r="V12" s="22" t="s">
        <v>58</v>
      </c>
      <c r="W12" s="22" t="s">
        <v>59</v>
      </c>
      <c r="X12" s="22" t="s">
        <v>60</v>
      </c>
      <c r="Y12" s="22" t="s">
        <v>58</v>
      </c>
      <c r="AA12" s="22" t="s">
        <v>59</v>
      </c>
      <c r="AB12" s="22" t="s">
        <v>60</v>
      </c>
      <c r="AC12" s="22" t="s">
        <v>58</v>
      </c>
      <c r="AE12" s="22" t="s">
        <v>59</v>
      </c>
      <c r="AF12" s="22" t="s">
        <v>47</v>
      </c>
      <c r="AG12" s="22" t="s">
        <v>58</v>
      </c>
    </row>
    <row r="13" spans="1:34" x14ac:dyDescent="0.4">
      <c r="N13" s="24"/>
      <c r="O13" s="22">
        <v>100000</v>
      </c>
      <c r="Q13" s="2"/>
      <c r="R13" s="2"/>
      <c r="S13" s="23">
        <v>7.0499999999999993E-2</v>
      </c>
      <c r="T13" s="22">
        <v>27000</v>
      </c>
      <c r="U13" s="22">
        <v>25000</v>
      </c>
      <c r="V13" s="22">
        <v>670000</v>
      </c>
      <c r="W13" s="23">
        <v>2.9000000000000001E-2</v>
      </c>
      <c r="X13" s="22">
        <v>15000</v>
      </c>
      <c r="Y13" s="22">
        <v>260000</v>
      </c>
      <c r="AA13" s="23">
        <v>2.3E-2</v>
      </c>
      <c r="AB13" s="22">
        <v>18000</v>
      </c>
      <c r="AC13" s="22">
        <v>170000</v>
      </c>
      <c r="AE13" s="23">
        <v>2.7000000000000001E-3</v>
      </c>
      <c r="AF13" s="22">
        <v>1700</v>
      </c>
      <c r="AG13" s="22">
        <v>30000</v>
      </c>
    </row>
    <row r="14" spans="1:34" x14ac:dyDescent="0.4">
      <c r="N14" s="24" t="s">
        <v>62</v>
      </c>
      <c r="O14" s="22">
        <v>310000</v>
      </c>
      <c r="Q14" s="2"/>
      <c r="R14" s="2"/>
      <c r="T14" s="22" t="s">
        <v>65</v>
      </c>
      <c r="X14" s="22" t="s">
        <v>65</v>
      </c>
    </row>
    <row r="15" spans="1:34" x14ac:dyDescent="0.4">
      <c r="N15" s="24" t="s">
        <v>63</v>
      </c>
      <c r="O15" s="22">
        <v>570000</v>
      </c>
      <c r="Q15" s="2"/>
      <c r="R15" s="2"/>
      <c r="T15" s="25">
        <v>0.5</v>
      </c>
      <c r="X15" s="25">
        <v>0.5</v>
      </c>
    </row>
    <row r="16" spans="1:34" x14ac:dyDescent="0.4">
      <c r="Q16" s="2"/>
      <c r="R16" s="2"/>
    </row>
  </sheetData>
  <mergeCells count="23">
    <mergeCell ref="AH1:AH2"/>
    <mergeCell ref="N1:N2"/>
    <mergeCell ref="F1:F2"/>
    <mergeCell ref="M1:M2"/>
    <mergeCell ref="O1:O2"/>
    <mergeCell ref="P1:P2"/>
    <mergeCell ref="Q1:Q2"/>
    <mergeCell ref="R1:R2"/>
    <mergeCell ref="A1:A2"/>
    <mergeCell ref="S1:V1"/>
    <mergeCell ref="W1:Y1"/>
    <mergeCell ref="Z1:AC1"/>
    <mergeCell ref="AD1:AG1"/>
    <mergeCell ref="J1:J2"/>
    <mergeCell ref="I1:I2"/>
    <mergeCell ref="E1:E2"/>
    <mergeCell ref="D1:D2"/>
    <mergeCell ref="C1:C2"/>
    <mergeCell ref="B1:B2"/>
    <mergeCell ref="L1:L2"/>
    <mergeCell ref="K1:K2"/>
    <mergeCell ref="H1:H2"/>
    <mergeCell ref="G1:G2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777B1-FD0E-4758-AC41-21A9EBE269FE}">
  <sheetPr>
    <tabColor theme="1"/>
  </sheetPr>
  <dimension ref="A1:F14"/>
  <sheetViews>
    <sheetView workbookViewId="0">
      <selection activeCell="C3" sqref="C3"/>
    </sheetView>
  </sheetViews>
  <sheetFormatPr defaultRowHeight="18.75" x14ac:dyDescent="0.4"/>
  <cols>
    <col min="1" max="2" width="20.375" bestFit="1" customWidth="1"/>
    <col min="3" max="4" width="23.5" bestFit="1" customWidth="1"/>
    <col min="5" max="5" width="10.5" bestFit="1" customWidth="1"/>
  </cols>
  <sheetData>
    <row r="1" spans="1:6" x14ac:dyDescent="0.4">
      <c r="A1" t="s">
        <v>21</v>
      </c>
      <c r="B1" t="s">
        <v>22</v>
      </c>
      <c r="C1" t="s">
        <v>25</v>
      </c>
      <c r="D1" t="s">
        <v>26</v>
      </c>
      <c r="E1" s="4" t="s">
        <v>7</v>
      </c>
      <c r="F1" s="4">
        <v>0</v>
      </c>
    </row>
    <row r="2" spans="1:6" x14ac:dyDescent="0.4">
      <c r="A2" t="s">
        <v>23</v>
      </c>
      <c r="B2" s="5" t="s">
        <v>16</v>
      </c>
      <c r="C2" t="s">
        <v>7</v>
      </c>
      <c r="D2" t="s">
        <v>32</v>
      </c>
      <c r="E2" s="4" t="s">
        <v>32</v>
      </c>
      <c r="F2" s="4">
        <v>12</v>
      </c>
    </row>
    <row r="3" spans="1:6" x14ac:dyDescent="0.4">
      <c r="A3" s="5" t="s">
        <v>16</v>
      </c>
      <c r="B3" t="s">
        <v>18</v>
      </c>
      <c r="C3" t="s">
        <v>32</v>
      </c>
      <c r="D3" t="s">
        <v>33</v>
      </c>
      <c r="E3" s="4" t="s">
        <v>33</v>
      </c>
      <c r="F3" s="4">
        <v>11</v>
      </c>
    </row>
    <row r="4" spans="1:6" x14ac:dyDescent="0.4">
      <c r="A4" t="s">
        <v>18</v>
      </c>
      <c r="B4" t="s">
        <v>19</v>
      </c>
      <c r="C4" t="s">
        <v>33</v>
      </c>
      <c r="D4" t="s">
        <v>34</v>
      </c>
      <c r="E4" s="4" t="s">
        <v>34</v>
      </c>
      <c r="F4" s="4">
        <v>10</v>
      </c>
    </row>
    <row r="5" spans="1:6" x14ac:dyDescent="0.4">
      <c r="A5" t="s">
        <v>19</v>
      </c>
      <c r="B5" t="s">
        <v>20</v>
      </c>
      <c r="C5" t="s">
        <v>34</v>
      </c>
      <c r="D5" t="s">
        <v>35</v>
      </c>
      <c r="E5" s="4" t="s">
        <v>35</v>
      </c>
      <c r="F5" s="4">
        <v>9</v>
      </c>
    </row>
    <row r="6" spans="1:6" x14ac:dyDescent="0.4">
      <c r="A6" t="s">
        <v>20</v>
      </c>
      <c r="B6" t="s">
        <v>17</v>
      </c>
      <c r="C6" t="s">
        <v>35</v>
      </c>
      <c r="D6" t="s">
        <v>36</v>
      </c>
      <c r="E6" s="4" t="s">
        <v>36</v>
      </c>
      <c r="F6" s="4">
        <v>8</v>
      </c>
    </row>
    <row r="7" spans="1:6" x14ac:dyDescent="0.4">
      <c r="A7" t="s">
        <v>17</v>
      </c>
      <c r="C7" t="s">
        <v>36</v>
      </c>
      <c r="D7" t="s">
        <v>37</v>
      </c>
      <c r="E7" s="4" t="s">
        <v>37</v>
      </c>
      <c r="F7" s="4">
        <v>7</v>
      </c>
    </row>
    <row r="8" spans="1:6" x14ac:dyDescent="0.4">
      <c r="C8" t="s">
        <v>37</v>
      </c>
      <c r="D8" t="s">
        <v>38</v>
      </c>
      <c r="E8" s="4" t="s">
        <v>38</v>
      </c>
      <c r="F8" s="4">
        <v>6</v>
      </c>
    </row>
    <row r="9" spans="1:6" x14ac:dyDescent="0.4">
      <c r="C9" t="s">
        <v>38</v>
      </c>
      <c r="D9" t="s">
        <v>39</v>
      </c>
      <c r="E9" s="4" t="s">
        <v>39</v>
      </c>
      <c r="F9" s="4">
        <v>5</v>
      </c>
    </row>
    <row r="10" spans="1:6" x14ac:dyDescent="0.4">
      <c r="C10" t="s">
        <v>39</v>
      </c>
      <c r="D10" t="s">
        <v>40</v>
      </c>
      <c r="E10" s="4" t="s">
        <v>40</v>
      </c>
      <c r="F10" s="4">
        <v>4</v>
      </c>
    </row>
    <row r="11" spans="1:6" x14ac:dyDescent="0.4">
      <c r="C11" t="s">
        <v>40</v>
      </c>
      <c r="D11" t="s">
        <v>41</v>
      </c>
      <c r="E11" s="4" t="s">
        <v>41</v>
      </c>
      <c r="F11" s="4">
        <v>3</v>
      </c>
    </row>
    <row r="12" spans="1:6" x14ac:dyDescent="0.4">
      <c r="C12" t="s">
        <v>41</v>
      </c>
      <c r="D12" t="s">
        <v>42</v>
      </c>
      <c r="E12" s="4" t="s">
        <v>42</v>
      </c>
      <c r="F12" s="4">
        <v>2</v>
      </c>
    </row>
    <row r="13" spans="1:6" x14ac:dyDescent="0.4">
      <c r="C13" t="s">
        <v>42</v>
      </c>
      <c r="D13" t="s">
        <v>24</v>
      </c>
      <c r="E13" s="4" t="s">
        <v>24</v>
      </c>
      <c r="F13" s="4">
        <v>1</v>
      </c>
    </row>
    <row r="14" spans="1:6" x14ac:dyDescent="0.4">
      <c r="C14" t="s">
        <v>24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試算</vt:lpstr>
      <vt:lpstr>所得計算</vt:lpstr>
      <vt:lpstr>計算</vt:lpstr>
      <vt:lpstr>ドロップダウンリスト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